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040" tabRatio="0" activeTab="0"/>
  </bookViews>
  <sheets>
    <sheet name="TDSheet" sheetId="1" r:id="rId1"/>
  </sheets>
  <definedNames>
    <definedName name="_xlnm.Print_Area" localSheetId="0">'TDSheet'!$A$1:$T$335</definedName>
  </definedNames>
  <calcPr fullCalcOnLoad="1"/>
</workbook>
</file>

<file path=xl/sharedStrings.xml><?xml version="1.0" encoding="utf-8"?>
<sst xmlns="http://schemas.openxmlformats.org/spreadsheetml/2006/main" count="555" uniqueCount="120">
  <si>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</si>
  <si>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</si>
  <si>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</si>
  <si>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</si>
  <si>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</si>
  <si>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</si>
  <si>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</si>
  <si>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</si>
  <si>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</si>
  <si>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</si>
  <si>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</si>
  <si>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</si>
  <si>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</si>
  <si>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</si>
  <si>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</si>
  <si>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</si>
  <si>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</si>
  <si>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</si>
  <si>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</si>
  <si>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</si>
  <si>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</si>
  <si>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</si>
  <si>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Каша гречневая  рассыпчатая с маслом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</si>
  <si>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</si>
  <si>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</si>
  <si>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</si>
  <si>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</si>
  <si>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</si>
  <si>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</si>
  <si>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</si>
  <si>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</si>
  <si>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</si>
  <si>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</si>
  <si>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</si>
  <si>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</si>
  <si>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</si>
  <si>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</si>
  <si>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</si>
  <si>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</si>
  <si>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</si>
  <si>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</si>
  <si>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</si>
  <si>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</si>
  <si>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</si>
  <si>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</si>
  <si>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</si>
  <si>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</si>
  <si>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Хлеб пшеничный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</si>
  <si>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</si>
  <si>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</si>
  <si>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</si>
  <si>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</si>
  <si>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</si>
  <si>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</si>
  <si>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</si>
  <si>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</si>
  <si>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</si>
  <si>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</si>
  <si>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</si>
  <si>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</si>
  <si>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</si>
  <si>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</si>
  <si>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</si>
  <si>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</si>
  <si>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</si>
  <si>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</si>
  <si>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</si>
  <si>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Котлета "Куриная"</t>
  </si>
  <si>
    <t>№ рец. по сборнику</t>
  </si>
  <si>
    <t>ПРИМЕЧАНИЕ  ** могут быть использованы нектары,морсы, напитки сокосодержащие (в т.ч. обогащенные)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</si>
  <si>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</si>
  <si>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</si>
  <si>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</si>
  <si>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</si>
  <si>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</si>
  <si>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</si>
  <si>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</si>
  <si>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 xml:space="preserve">Рис отварной с маслом сливочным </t>
  </si>
  <si>
    <t>Суп картофельный с рыбными консервами</t>
  </si>
  <si>
    <t>Птица, порционная  с овощами</t>
  </si>
  <si>
    <t>Суп картофельный (с крупой) на м/б</t>
  </si>
  <si>
    <t>Щи из свежей капусты на м/б</t>
  </si>
  <si>
    <t xml:space="preserve">Фрукт порционно </t>
  </si>
  <si>
    <t xml:space="preserve">Каша рисовая молочная с маслом сливочным </t>
  </si>
  <si>
    <t>Каша манная молочная с маслом сливочным</t>
  </si>
  <si>
    <t>Салат "Витаминный"</t>
  </si>
  <si>
    <t>Молоко ''Авишка''</t>
  </si>
  <si>
    <t xml:space="preserve">Рыба, запеченная с овощами </t>
  </si>
  <si>
    <t>Напиток лимонный</t>
  </si>
  <si>
    <t>Холодная закуска: Овощи порционно / Огурец  свежий</t>
  </si>
  <si>
    <t>Гуляш мясной 80/20</t>
  </si>
  <si>
    <t>Кукуруза консервированная</t>
  </si>
  <si>
    <t>Йогурт</t>
  </si>
  <si>
    <t xml:space="preserve">Завтрак </t>
  </si>
  <si>
    <t>Каша пшенная с маслом сливочным</t>
  </si>
  <si>
    <t xml:space="preserve">Итого за Завтрак </t>
  </si>
  <si>
    <t>с 7-11 лет;12 и старше</t>
  </si>
  <si>
    <t>Блинчики с фруктовой начинкой п/ф</t>
  </si>
  <si>
    <t>Макаронные изделия отварные с сыром 180/25</t>
  </si>
  <si>
    <t>Холодная закуска: Овощи порционно / Огурец соленый</t>
  </si>
  <si>
    <t>Салат из свежих помидоров и огурцов с растительным маслом</t>
  </si>
  <si>
    <t>Утверждаю:
Председатель кооператива
СПСК "БизнесЦентр"
_______Фоминова Н.И.</t>
  </si>
  <si>
    <t>Бутерброд с маслом 30/8</t>
  </si>
  <si>
    <t>ПРИМЕЧАНИЕ: * замена на весенний период</t>
  </si>
  <si>
    <t>* 56</t>
  </si>
  <si>
    <r>
      <t>Салат из свежей капусты   "Молодость"/</t>
    </r>
    <r>
      <rPr>
        <i/>
        <sz val="8"/>
        <rFont val="Arial"/>
        <family val="2"/>
      </rPr>
      <t>квашенная капуста/</t>
    </r>
  </si>
  <si>
    <t xml:space="preserve">Согласовано:
Директор                                                                                                                                                                                                              
  ________________   /                                              /
</t>
  </si>
  <si>
    <t>Соус сметанный</t>
  </si>
  <si>
    <t>Салат из белокачанной капусты с морковью/соленые огурцы/</t>
  </si>
  <si>
    <t>*45</t>
  </si>
  <si>
    <t>*29</t>
  </si>
  <si>
    <t>Салат из капусты с огурцом/Огурцы соленые/</t>
  </si>
  <si>
    <t>Бутерброд с маслом и сыром 30/15/5</t>
  </si>
  <si>
    <t>весенне-летний</t>
  </si>
  <si>
    <r>
      <t xml:space="preserve">Салат из свеклы с маслом растительным </t>
    </r>
    <r>
      <rPr>
        <i/>
        <sz val="9"/>
        <rFont val="Arial"/>
        <family val="2"/>
      </rPr>
      <t>/икра кабачковая</t>
    </r>
    <r>
      <rPr>
        <sz val="9"/>
        <rFont val="Arial"/>
        <family val="2"/>
      </rPr>
      <t>/</t>
    </r>
  </si>
  <si>
    <t xml:space="preserve">Палочки мясные "Детские" запеченые </t>
  </si>
  <si>
    <t xml:space="preserve">Бифштекс рубленый "Детский" </t>
  </si>
  <si>
    <t xml:space="preserve">Котлета " Школьная" запеченная </t>
  </si>
  <si>
    <t>Сыр твердо-мягкий порционно</t>
  </si>
  <si>
    <t>Перспективное меню и пищевая ценность приготовляемых блюд для ОГБОУ  "Алексеевская СОШ" на 2024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</si>
</sst>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3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vertical="center"/>
    </xf>
    <xf numFmtId="1" fontId="3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7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1" fontId="0" fillId="34" borderId="17" xfId="53" applyNumberFormat="1" applyFont="1" applyFill="1" applyBorder="1" applyAlignment="1">
      <alignment horizontal="center" vertical="center"/>
      <protection/>
    </xf>
    <xf numFmtId="0" fontId="0" fillId="34" borderId="17" xfId="53" applyNumberFormat="1" applyFont="1" applyFill="1" applyBorder="1" applyAlignment="1">
      <alignment horizontal="center" vertical="top"/>
      <protection/>
    </xf>
    <xf numFmtId="1" fontId="0" fillId="34" borderId="17" xfId="53" applyNumberFormat="1" applyFont="1" applyFill="1" applyBorder="1" applyAlignment="1">
      <alignment horizontal="center" vertical="top"/>
      <protection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5" borderId="12" xfId="53" applyNumberFormat="1" applyFont="1" applyFill="1" applyBorder="1" applyAlignment="1">
      <alignment horizontal="center" vertical="top"/>
      <protection/>
    </xf>
    <xf numFmtId="2" fontId="0" fillId="35" borderId="12" xfId="53" applyNumberFormat="1" applyFont="1" applyFill="1" applyBorder="1" applyAlignment="1">
      <alignment horizontal="center" vertical="top"/>
      <protection/>
    </xf>
    <xf numFmtId="0" fontId="0" fillId="35" borderId="12" xfId="53" applyNumberFormat="1" applyFont="1" applyFill="1" applyBorder="1" applyAlignment="1">
      <alignment horizontal="center" vertical="top"/>
      <protection/>
    </xf>
    <xf numFmtId="182" fontId="0" fillId="35" borderId="12" xfId="53" applyNumberFormat="1" applyFont="1" applyFill="1" applyBorder="1" applyAlignment="1">
      <alignment horizontal="center" vertical="top"/>
      <protection/>
    </xf>
    <xf numFmtId="184" fontId="0" fillId="35" borderId="12" xfId="53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2" fontId="3" fillId="34" borderId="18" xfId="0" applyNumberFormat="1" applyFont="1" applyFill="1" applyBorder="1" applyAlignment="1">
      <alignment/>
    </xf>
    <xf numFmtId="0" fontId="0" fillId="34" borderId="17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1" fontId="0" fillId="35" borderId="12" xfId="53" applyNumberFormat="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left"/>
    </xf>
    <xf numFmtId="10" fontId="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left"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1" xfId="0" applyFont="1" applyFill="1" applyBorder="1" applyAlignment="1">
      <alignment horizontal="left" indent="1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10" fontId="3" fillId="33" borderId="15" xfId="0" applyNumberFormat="1" applyFont="1" applyFill="1" applyBorder="1" applyAlignment="1">
      <alignment horizontal="center" vertical="top"/>
    </xf>
    <xf numFmtId="3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 vertical="top"/>
    </xf>
    <xf numFmtId="2" fontId="51" fillId="33" borderId="11" xfId="0" applyNumberFormat="1" applyFont="1" applyFill="1" applyBorder="1" applyAlignment="1">
      <alignment horizontal="center" vertical="top"/>
    </xf>
    <xf numFmtId="0" fontId="51" fillId="33" borderId="0" xfId="0" applyFont="1" applyFill="1" applyAlignment="1">
      <alignment/>
    </xf>
    <xf numFmtId="2" fontId="51" fillId="33" borderId="0" xfId="0" applyNumberFormat="1" applyFont="1" applyFill="1" applyAlignment="1">
      <alignment/>
    </xf>
    <xf numFmtId="2" fontId="51" fillId="33" borderId="10" xfId="0" applyNumberFormat="1" applyFont="1" applyFill="1" applyBorder="1" applyAlignment="1">
      <alignment horizontal="center" vertical="top" wrapText="1"/>
    </xf>
    <xf numFmtId="2" fontId="51" fillId="33" borderId="11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3" borderId="0" xfId="0" applyFont="1" applyFill="1" applyBorder="1" applyAlignment="1">
      <alignment horizontal="left" indent="1"/>
    </xf>
    <xf numFmtId="0" fontId="51" fillId="33" borderId="10" xfId="0" applyNumberFormat="1" applyFont="1" applyFill="1" applyBorder="1" applyAlignment="1">
      <alignment horizontal="center" vertical="top"/>
    </xf>
    <xf numFmtId="0" fontId="51" fillId="33" borderId="11" xfId="0" applyNumberFormat="1" applyFont="1" applyFill="1" applyBorder="1" applyAlignment="1">
      <alignment horizontal="center" vertical="top"/>
    </xf>
    <xf numFmtId="0" fontId="0" fillId="34" borderId="17" xfId="0" applyNumberFormat="1" applyFont="1" applyFill="1" applyBorder="1" applyAlignment="1">
      <alignment horizontal="center" vertical="center"/>
    </xf>
    <xf numFmtId="1" fontId="0" fillId="36" borderId="17" xfId="0" applyNumberFormat="1" applyFont="1" applyFill="1" applyBorder="1" applyAlignment="1">
      <alignment horizontal="center" vertical="top"/>
    </xf>
    <xf numFmtId="2" fontId="0" fillId="36" borderId="17" xfId="0" applyNumberFormat="1" applyFont="1" applyFill="1" applyBorder="1" applyAlignment="1">
      <alignment horizontal="center" vertical="top"/>
    </xf>
    <xf numFmtId="2" fontId="0" fillId="34" borderId="17" xfId="53" applyNumberFormat="1" applyFont="1" applyFill="1" applyBorder="1" applyAlignment="1">
      <alignment horizontal="center" vertical="center"/>
      <protection/>
    </xf>
    <xf numFmtId="1" fontId="0" fillId="34" borderId="17" xfId="0" applyNumberFormat="1" applyFont="1" applyFill="1" applyBorder="1" applyAlignment="1">
      <alignment horizontal="center" vertical="center"/>
    </xf>
    <xf numFmtId="184" fontId="0" fillId="34" borderId="17" xfId="0" applyNumberFormat="1" applyFont="1" applyFill="1" applyBorder="1" applyAlignment="1">
      <alignment horizontal="center" vertical="top"/>
    </xf>
    <xf numFmtId="0" fontId="0" fillId="34" borderId="17" xfId="0" applyNumberFormat="1" applyFont="1" applyFill="1" applyBorder="1" applyAlignment="1">
      <alignment horizontal="center" vertical="top"/>
    </xf>
    <xf numFmtId="182" fontId="0" fillId="34" borderId="17" xfId="0" applyNumberFormat="1" applyFont="1" applyFill="1" applyBorder="1" applyAlignment="1">
      <alignment horizontal="center" vertical="top"/>
    </xf>
    <xf numFmtId="2" fontId="3" fillId="33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1" xfId="0" applyNumberFormat="1" applyFont="1" applyFill="1" applyBorder="1" applyAlignment="1">
      <alignment horizontal="center" wrapText="1"/>
    </xf>
    <xf numFmtId="182" fontId="0" fillId="33" borderId="12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0" fillId="36" borderId="17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4" borderId="17" xfId="53" applyNumberFormat="1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NumberFormat="1" applyFont="1" applyFill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4" borderId="17" xfId="53" applyNumberFormat="1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2" fontId="0" fillId="34" borderId="25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33" borderId="0" xfId="0" applyNumberFormat="1" applyFont="1" applyFill="1" applyAlignment="1">
      <alignment horizontal="right"/>
    </xf>
    <xf numFmtId="0" fontId="3" fillId="33" borderId="12" xfId="0" applyFont="1" applyFill="1" applyBorder="1" applyAlignment="1">
      <alignment horizontal="left" indent="1"/>
    </xf>
    <xf numFmtId="0" fontId="3" fillId="33" borderId="0" xfId="0" applyNumberFormat="1" applyFont="1" applyFill="1" applyAlignment="1">
      <alignment horizontal="left"/>
    </xf>
    <xf numFmtId="0" fontId="0" fillId="34" borderId="17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center" vertical="top" wrapText="1"/>
    </xf>
    <xf numFmtId="0" fontId="3" fillId="33" borderId="26" xfId="0" applyNumberFormat="1" applyFont="1" applyFill="1" applyBorder="1" applyAlignment="1">
      <alignment horizontal="righ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4" borderId="25" xfId="53" applyNumberFormat="1" applyFont="1" applyFill="1" applyBorder="1" applyAlignment="1">
      <alignment horizontal="left" vertical="center" wrapText="1"/>
      <protection/>
    </xf>
    <xf numFmtId="0" fontId="0" fillId="34" borderId="18" xfId="53" applyNumberFormat="1" applyFont="1" applyFill="1" applyBorder="1" applyAlignment="1">
      <alignment horizontal="left" vertical="center" wrapText="1"/>
      <protection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2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0" fillId="34" borderId="27" xfId="0" applyNumberFormat="1" applyFont="1" applyFill="1" applyBorder="1" applyAlignment="1">
      <alignment horizontal="left" vertical="center" wrapText="1"/>
    </xf>
    <xf numFmtId="0" fontId="0" fillId="34" borderId="28" xfId="0" applyNumberFormat="1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0" fontId="0" fillId="35" borderId="16" xfId="53" applyNumberFormat="1" applyFont="1" applyFill="1" applyBorder="1" applyAlignment="1">
      <alignment horizontal="left" vertical="center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4" borderId="25" xfId="0" applyNumberFormat="1" applyFont="1" applyFill="1" applyBorder="1" applyAlignment="1">
      <alignment horizontal="left" vertical="center" wrapText="1"/>
    </xf>
    <xf numFmtId="0" fontId="0" fillId="34" borderId="18" xfId="0" applyNumberFormat="1" applyFont="1" applyFill="1" applyBorder="1" applyAlignment="1">
      <alignment horizontal="left" vertical="center" wrapText="1"/>
    </xf>
    <xf numFmtId="0" fontId="0" fillId="33" borderId="29" xfId="0" applyNumberFormat="1" applyFont="1" applyFill="1" applyBorder="1" applyAlignment="1">
      <alignment horizontal="left" vertical="center" wrapText="1"/>
    </xf>
    <xf numFmtId="0" fontId="0" fillId="33" borderId="30" xfId="0" applyNumberFormat="1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indent="1"/>
    </xf>
    <xf numFmtId="0" fontId="3" fillId="33" borderId="31" xfId="0" applyFont="1" applyFill="1" applyBorder="1" applyAlignment="1">
      <alignment horizontal="left" indent="1"/>
    </xf>
    <xf numFmtId="0" fontId="3" fillId="33" borderId="30" xfId="0" applyFont="1" applyFill="1" applyBorder="1" applyAlignment="1">
      <alignment horizontal="left" indent="1"/>
    </xf>
    <xf numFmtId="0" fontId="0" fillId="34" borderId="32" xfId="53" applyNumberFormat="1" applyFont="1" applyFill="1" applyBorder="1" applyAlignment="1">
      <alignment horizontal="left" vertical="center" wrapText="1"/>
      <protection/>
    </xf>
    <xf numFmtId="0" fontId="0" fillId="34" borderId="33" xfId="53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6"/>
  <sheetViews>
    <sheetView tabSelected="1" view="pageBreakPreview" zoomScale="145" zoomScaleNormal="80" zoomScaleSheetLayoutView="145" workbookViewId="0" topLeftCell="A235">
      <selection activeCell="A256" sqref="A256:T256"/>
    </sheetView>
  </sheetViews>
  <sheetFormatPr defaultColWidth="9.33203125" defaultRowHeight="11.25"/>
  <cols>
    <col min="1" max="1" width="9.5" style="172" customWidth="1"/>
    <col min="2" max="2" width="16.33203125" style="172" customWidth="1"/>
    <col min="3" max="3" width="25.16015625" style="172" customWidth="1"/>
    <col min="4" max="4" width="8" style="2" customWidth="1"/>
    <col min="5" max="5" width="9.66015625" style="2" customWidth="1"/>
    <col min="6" max="6" width="9.83203125" style="59" customWidth="1"/>
    <col min="7" max="7" width="9.66015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8.83203125" style="2" customWidth="1"/>
    <col min="13" max="13" width="10.33203125" style="2" customWidth="1"/>
    <col min="14" max="14" width="9.5" style="2" customWidth="1"/>
    <col min="15" max="15" width="9.33203125" style="2" customWidth="1"/>
    <col min="16" max="17" width="9.16015625" style="2" customWidth="1"/>
    <col min="18" max="18" width="9" style="2" customWidth="1"/>
    <col min="19" max="19" width="9.5" style="2" customWidth="1"/>
    <col min="20" max="20" width="8.66015625" style="2" customWidth="1"/>
    <col min="21" max="21" width="9.16015625" style="16" customWidth="1"/>
    <col min="22" max="23" width="9.16015625" style="25" customWidth="1"/>
    <col min="24" max="24" width="11.66015625" style="25" customWidth="1"/>
  </cols>
  <sheetData>
    <row r="1" spans="1:20" ht="48.75" customHeight="1">
      <c r="A1" s="194" t="s">
        <v>106</v>
      </c>
      <c r="B1" s="194"/>
      <c r="C1" s="194"/>
      <c r="D1" s="194"/>
      <c r="Q1" s="207" t="s">
        <v>101</v>
      </c>
      <c r="R1" s="207"/>
      <c r="S1" s="207"/>
      <c r="T1" s="207"/>
    </row>
    <row r="2" spans="1:24" s="1" customFormat="1" ht="11.25" customHeight="1">
      <c r="A2" s="195"/>
      <c r="B2" s="195"/>
      <c r="C2" s="195"/>
      <c r="D2" s="195"/>
      <c r="E2" s="121"/>
      <c r="F2" s="119"/>
      <c r="G2" s="121"/>
      <c r="H2" s="121"/>
      <c r="I2" s="121"/>
      <c r="J2" s="121"/>
      <c r="K2" s="121"/>
      <c r="L2" s="2"/>
      <c r="M2" s="220"/>
      <c r="N2" s="220"/>
      <c r="O2" s="220"/>
      <c r="P2" s="220"/>
      <c r="Q2" s="220"/>
      <c r="R2" s="220"/>
      <c r="S2" s="220"/>
      <c r="T2" s="220"/>
      <c r="U2" s="234"/>
      <c r="V2" s="237"/>
      <c r="W2" s="62"/>
      <c r="X2" s="237"/>
    </row>
    <row r="3" spans="1:24" s="1" customFormat="1" ht="11.25" customHeight="1">
      <c r="A3" s="195"/>
      <c r="B3" s="195"/>
      <c r="C3" s="195"/>
      <c r="D3" s="195"/>
      <c r="E3" s="121"/>
      <c r="F3" s="119"/>
      <c r="G3" s="121"/>
      <c r="H3" s="121"/>
      <c r="I3" s="121"/>
      <c r="J3" s="121"/>
      <c r="K3" s="121"/>
      <c r="L3" s="2"/>
      <c r="M3" s="185"/>
      <c r="N3" s="185"/>
      <c r="O3" s="185"/>
      <c r="P3" s="185"/>
      <c r="Q3" s="185"/>
      <c r="R3" s="185"/>
      <c r="S3" s="185"/>
      <c r="T3" s="185"/>
      <c r="U3" s="235"/>
      <c r="V3" s="237"/>
      <c r="W3" s="186"/>
      <c r="X3" s="237"/>
    </row>
    <row r="4" spans="1:24" s="1" customFormat="1" ht="15.75" customHeight="1">
      <c r="A4" s="239" t="s">
        <v>119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5"/>
      <c r="V4" s="237"/>
      <c r="W4" s="62"/>
      <c r="X4" s="237"/>
    </row>
    <row r="5" spans="1:24" s="1" customFormat="1" ht="11.25" customHeight="1">
      <c r="A5" s="43" t="s">
        <v>48</v>
      </c>
      <c r="B5" s="41"/>
      <c r="C5" s="41"/>
      <c r="D5" s="2"/>
      <c r="E5" s="2"/>
      <c r="F5" s="119"/>
      <c r="G5" s="196" t="s">
        <v>0</v>
      </c>
      <c r="H5" s="196"/>
      <c r="I5" s="196"/>
      <c r="J5" s="121"/>
      <c r="K5" s="121"/>
      <c r="L5" s="215" t="s">
        <v>1</v>
      </c>
      <c r="M5" s="215"/>
      <c r="N5" s="214" t="s">
        <v>113</v>
      </c>
      <c r="O5" s="214"/>
      <c r="P5" s="214"/>
      <c r="Q5" s="214"/>
      <c r="R5" s="121"/>
      <c r="S5" s="121"/>
      <c r="T5" s="121"/>
      <c r="U5" s="235"/>
      <c r="V5" s="237"/>
      <c r="W5" s="62"/>
      <c r="X5" s="237"/>
    </row>
    <row r="6" spans="1:24" s="1" customFormat="1" ht="11.25" customHeight="1">
      <c r="A6" s="41" t="s">
        <v>103</v>
      </c>
      <c r="B6" s="41"/>
      <c r="C6" s="41"/>
      <c r="D6" s="215" t="s">
        <v>2</v>
      </c>
      <c r="E6" s="215"/>
      <c r="F6" s="215"/>
      <c r="G6" s="5">
        <v>1</v>
      </c>
      <c r="H6" s="121"/>
      <c r="I6" s="2"/>
      <c r="J6" s="2"/>
      <c r="K6" s="2"/>
      <c r="L6" s="215" t="s">
        <v>3</v>
      </c>
      <c r="M6" s="215"/>
      <c r="N6" s="196" t="s">
        <v>96</v>
      </c>
      <c r="O6" s="196"/>
      <c r="P6" s="196"/>
      <c r="Q6" s="196"/>
      <c r="R6" s="196"/>
      <c r="S6" s="196"/>
      <c r="T6" s="196"/>
      <c r="U6" s="236"/>
      <c r="V6" s="238"/>
      <c r="W6" s="62"/>
      <c r="X6" s="237"/>
    </row>
    <row r="7" spans="1:24" s="1" customFormat="1" ht="21.75" customHeight="1">
      <c r="A7" s="216" t="s">
        <v>4</v>
      </c>
      <c r="B7" s="197" t="s">
        <v>5</v>
      </c>
      <c r="C7" s="198"/>
      <c r="D7" s="216" t="s">
        <v>6</v>
      </c>
      <c r="E7" s="178"/>
      <c r="F7" s="204" t="s">
        <v>7</v>
      </c>
      <c r="G7" s="205"/>
      <c r="H7" s="206"/>
      <c r="I7" s="216" t="s">
        <v>8</v>
      </c>
      <c r="J7" s="204" t="s">
        <v>9</v>
      </c>
      <c r="K7" s="205"/>
      <c r="L7" s="205"/>
      <c r="M7" s="205"/>
      <c r="N7" s="206"/>
      <c r="O7" s="204" t="s">
        <v>10</v>
      </c>
      <c r="P7" s="205"/>
      <c r="Q7" s="205"/>
      <c r="R7" s="205"/>
      <c r="S7" s="205"/>
      <c r="T7" s="206"/>
      <c r="U7" s="7"/>
      <c r="V7" s="20"/>
      <c r="W7" s="20"/>
      <c r="X7" s="20"/>
    </row>
    <row r="8" spans="1:24" s="1" customFormat="1" ht="21" customHeight="1">
      <c r="A8" s="217"/>
      <c r="B8" s="199"/>
      <c r="C8" s="200"/>
      <c r="D8" s="217"/>
      <c r="E8" s="177"/>
      <c r="F8" s="57" t="s">
        <v>11</v>
      </c>
      <c r="G8" s="182" t="s">
        <v>12</v>
      </c>
      <c r="H8" s="182" t="s">
        <v>13</v>
      </c>
      <c r="I8" s="217"/>
      <c r="J8" s="182" t="s">
        <v>14</v>
      </c>
      <c r="K8" s="182" t="s">
        <v>50</v>
      </c>
      <c r="L8" s="182" t="s">
        <v>15</v>
      </c>
      <c r="M8" s="182" t="s">
        <v>16</v>
      </c>
      <c r="N8" s="182" t="s">
        <v>17</v>
      </c>
      <c r="O8" s="182" t="s">
        <v>18</v>
      </c>
      <c r="P8" s="182" t="s">
        <v>19</v>
      </c>
      <c r="Q8" s="182" t="s">
        <v>51</v>
      </c>
      <c r="R8" s="182" t="s">
        <v>52</v>
      </c>
      <c r="S8" s="182" t="s">
        <v>20</v>
      </c>
      <c r="T8" s="182" t="s">
        <v>21</v>
      </c>
      <c r="U8" s="7"/>
      <c r="V8" s="20"/>
      <c r="W8" s="20"/>
      <c r="X8" s="20"/>
    </row>
    <row r="9" spans="1:24" s="1" customFormat="1" ht="11.25" customHeight="1">
      <c r="A9" s="183">
        <v>1</v>
      </c>
      <c r="B9" s="230">
        <v>2</v>
      </c>
      <c r="C9" s="231"/>
      <c r="D9" s="28">
        <v>3</v>
      </c>
      <c r="E9" s="28"/>
      <c r="F9" s="5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8"/>
      <c r="V9" s="21"/>
      <c r="W9" s="21"/>
      <c r="X9" s="21"/>
    </row>
    <row r="10" spans="1:24" s="1" customFormat="1" ht="11.25" customHeight="1">
      <c r="A10" s="245" t="s">
        <v>93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9"/>
      <c r="V10" s="22"/>
      <c r="W10" s="22"/>
      <c r="X10" s="22"/>
    </row>
    <row r="11" spans="1:24" s="154" customFormat="1" ht="13.5" customHeight="1">
      <c r="A11" s="183" t="s">
        <v>58</v>
      </c>
      <c r="B11" s="208" t="s">
        <v>97</v>
      </c>
      <c r="C11" s="209"/>
      <c r="D11" s="139">
        <v>170</v>
      </c>
      <c r="E11" s="140">
        <v>43</v>
      </c>
      <c r="F11" s="140">
        <v>3.6</v>
      </c>
      <c r="G11" s="140">
        <v>6</v>
      </c>
      <c r="H11" s="140">
        <v>54</v>
      </c>
      <c r="I11" s="140">
        <v>288</v>
      </c>
      <c r="J11" s="140">
        <f>0.117*D11/200</f>
        <v>0.09945</v>
      </c>
      <c r="K11" s="140">
        <f>0.27*D11/200</f>
        <v>0.22950000000000004</v>
      </c>
      <c r="L11" s="140">
        <f>0.324*D11/200</f>
        <v>0.2754</v>
      </c>
      <c r="M11" s="140">
        <f>0.036*D11/200</f>
        <v>0.030599999999999995</v>
      </c>
      <c r="N11" s="137">
        <f>1.94*D11/200</f>
        <v>1.649</v>
      </c>
      <c r="O11" s="140">
        <f>131.38*D11/200</f>
        <v>111.67299999999999</v>
      </c>
      <c r="P11" s="140">
        <f>248.5*D11/200</f>
        <v>211.225</v>
      </c>
      <c r="Q11" s="140">
        <f>1.35*D11/200</f>
        <v>1.1475000000000002</v>
      </c>
      <c r="R11" s="140">
        <f>0.03*D11/200</f>
        <v>0.0255</v>
      </c>
      <c r="S11" s="140">
        <f>21.55*D11/200</f>
        <v>18.3175</v>
      </c>
      <c r="T11" s="140">
        <f>1.51*D11/200</f>
        <v>1.2834999999999999</v>
      </c>
      <c r="U11" s="152"/>
      <c r="V11" s="153"/>
      <c r="W11" s="153"/>
      <c r="X11" s="153"/>
    </row>
    <row r="12" spans="1:25" s="121" customFormat="1" ht="20.25" customHeight="1">
      <c r="A12" s="162" t="s">
        <v>58</v>
      </c>
      <c r="B12" s="223" t="s">
        <v>75</v>
      </c>
      <c r="C12" s="223"/>
      <c r="D12" s="163">
        <v>20</v>
      </c>
      <c r="E12" s="164">
        <v>8.12</v>
      </c>
      <c r="F12" s="164">
        <v>1.25</v>
      </c>
      <c r="G12" s="164">
        <v>0</v>
      </c>
      <c r="H12" s="164">
        <v>9.5</v>
      </c>
      <c r="I12" s="164">
        <v>43</v>
      </c>
      <c r="J12" s="164">
        <v>0.008</v>
      </c>
      <c r="K12" s="164">
        <v>0.007</v>
      </c>
      <c r="L12" s="164">
        <v>0.16</v>
      </c>
      <c r="M12" s="164">
        <v>0.008</v>
      </c>
      <c r="N12" s="164">
        <v>0.03</v>
      </c>
      <c r="O12" s="164">
        <v>51.16</v>
      </c>
      <c r="P12" s="164">
        <v>36.5</v>
      </c>
      <c r="Q12" s="164">
        <v>0.16</v>
      </c>
      <c r="R12" s="164">
        <v>0.002</v>
      </c>
      <c r="S12" s="164">
        <v>5.66</v>
      </c>
      <c r="T12" s="164">
        <v>0.03</v>
      </c>
      <c r="U12" s="68"/>
      <c r="V12" s="68"/>
      <c r="W12" s="68"/>
      <c r="X12" s="68"/>
      <c r="Y12" s="68"/>
    </row>
    <row r="13" spans="1:24" s="107" customFormat="1" ht="12.75" customHeight="1">
      <c r="A13" s="183">
        <v>377</v>
      </c>
      <c r="B13" s="212" t="s">
        <v>41</v>
      </c>
      <c r="C13" s="212"/>
      <c r="D13" s="139">
        <v>200</v>
      </c>
      <c r="E13" s="140">
        <v>3.81</v>
      </c>
      <c r="F13" s="140">
        <v>0.26</v>
      </c>
      <c r="G13" s="140">
        <v>0.06</v>
      </c>
      <c r="H13" s="140">
        <v>15.22</v>
      </c>
      <c r="I13" s="140">
        <f>F13*4+G13*9+H13*4</f>
        <v>62.46</v>
      </c>
      <c r="J13" s="140"/>
      <c r="K13" s="140">
        <v>0.01</v>
      </c>
      <c r="L13" s="140">
        <v>2.9</v>
      </c>
      <c r="M13" s="137">
        <v>0</v>
      </c>
      <c r="N13" s="140">
        <v>0.06</v>
      </c>
      <c r="O13" s="140">
        <v>8.05</v>
      </c>
      <c r="P13" s="140">
        <v>9.78</v>
      </c>
      <c r="Q13" s="140">
        <v>0.017</v>
      </c>
      <c r="R13" s="141">
        <v>0</v>
      </c>
      <c r="S13" s="140">
        <v>5.24</v>
      </c>
      <c r="T13" s="140">
        <v>0.87</v>
      </c>
      <c r="U13" s="110"/>
      <c r="V13" s="111"/>
      <c r="W13" s="111"/>
      <c r="X13" s="111"/>
    </row>
    <row r="14" spans="1:24" s="121" customFormat="1" ht="12.75" customHeight="1">
      <c r="A14" s="162">
        <v>3</v>
      </c>
      <c r="B14" s="223" t="s">
        <v>112</v>
      </c>
      <c r="C14" s="223"/>
      <c r="D14" s="163">
        <v>50</v>
      </c>
      <c r="E14" s="164">
        <v>18.07</v>
      </c>
      <c r="F14" s="164">
        <v>6.45</v>
      </c>
      <c r="G14" s="191">
        <v>7.27</v>
      </c>
      <c r="H14" s="164">
        <v>17.77</v>
      </c>
      <c r="I14" s="164">
        <v>162.25</v>
      </c>
      <c r="J14" s="164">
        <v>0.04</v>
      </c>
      <c r="K14" s="164">
        <v>0.02</v>
      </c>
      <c r="L14" s="163">
        <v>10</v>
      </c>
      <c r="M14" s="163">
        <v>0.02</v>
      </c>
      <c r="N14" s="164">
        <v>0.2</v>
      </c>
      <c r="O14" s="164">
        <v>16</v>
      </c>
      <c r="P14" s="164">
        <v>11</v>
      </c>
      <c r="Q14" s="163">
        <v>0.03</v>
      </c>
      <c r="R14" s="163">
        <v>0.002</v>
      </c>
      <c r="S14" s="164">
        <v>9</v>
      </c>
      <c r="T14" s="164">
        <v>2.2</v>
      </c>
      <c r="U14" s="190"/>
      <c r="V14" s="190"/>
      <c r="W14" s="190"/>
      <c r="X14" s="190"/>
    </row>
    <row r="15" s="68" customFormat="1" ht="14.25" customHeight="1"/>
    <row r="16" spans="1:24" s="73" customFormat="1" ht="11.25" customHeight="1">
      <c r="A16" s="133" t="s">
        <v>95</v>
      </c>
      <c r="B16" s="134"/>
      <c r="C16" s="134"/>
      <c r="D16" s="135">
        <f aca="true" t="shared" si="0" ref="D16:T16">SUM(D11:D148)</f>
        <v>640</v>
      </c>
      <c r="E16" s="150">
        <f t="shared" si="0"/>
        <v>73</v>
      </c>
      <c r="F16" s="150">
        <f t="shared" si="0"/>
        <v>17.159999999999997</v>
      </c>
      <c r="G16" s="150">
        <f t="shared" si="0"/>
        <v>19.729999999999997</v>
      </c>
      <c r="H16" s="150">
        <f t="shared" si="0"/>
        <v>105.89</v>
      </c>
      <c r="I16" s="150">
        <f t="shared" si="0"/>
        <v>673.3100000000001</v>
      </c>
      <c r="J16" s="150">
        <f t="shared" si="0"/>
        <v>0.22744999999999999</v>
      </c>
      <c r="K16" s="150">
        <f t="shared" si="0"/>
        <v>0.5735000000000001</v>
      </c>
      <c r="L16" s="150">
        <f t="shared" si="0"/>
        <v>15.9354</v>
      </c>
      <c r="M16" s="150">
        <f t="shared" si="0"/>
        <v>0.1256</v>
      </c>
      <c r="N16" s="150">
        <f t="shared" si="0"/>
        <v>2.231</v>
      </c>
      <c r="O16" s="150">
        <f t="shared" si="0"/>
        <v>426.883</v>
      </c>
      <c r="P16" s="150">
        <f t="shared" si="0"/>
        <v>448.505</v>
      </c>
      <c r="Q16" s="150">
        <f t="shared" si="0"/>
        <v>2.1545</v>
      </c>
      <c r="R16" s="150">
        <f t="shared" si="0"/>
        <v>0.0475</v>
      </c>
      <c r="S16" s="150">
        <f t="shared" si="0"/>
        <v>66.2175</v>
      </c>
      <c r="T16" s="150">
        <f t="shared" si="0"/>
        <v>4.5035</v>
      </c>
      <c r="U16" s="29"/>
      <c r="V16" s="74"/>
      <c r="W16" s="74"/>
      <c r="X16" s="74"/>
    </row>
    <row r="17" spans="1:24" s="73" customFormat="1" ht="11.25" customHeight="1">
      <c r="A17" s="225" t="s">
        <v>55</v>
      </c>
      <c r="B17" s="226"/>
      <c r="C17" s="226"/>
      <c r="D17" s="227"/>
      <c r="E17" s="174"/>
      <c r="F17" s="148">
        <f aca="true" t="shared" si="1" ref="F17:T17">F16/F34</f>
        <v>0.19066666666666662</v>
      </c>
      <c r="G17" s="51">
        <f t="shared" si="1"/>
        <v>0.2144565217391304</v>
      </c>
      <c r="H17" s="51">
        <f t="shared" si="1"/>
        <v>0.27647519582245433</v>
      </c>
      <c r="I17" s="51">
        <f t="shared" si="1"/>
        <v>0.24754044117647062</v>
      </c>
      <c r="J17" s="51">
        <f t="shared" si="1"/>
        <v>0.16246428571428573</v>
      </c>
      <c r="K17" s="51">
        <f t="shared" si="1"/>
        <v>0.3584375000000001</v>
      </c>
      <c r="L17" s="51">
        <f t="shared" si="1"/>
        <v>0.22764857142857142</v>
      </c>
      <c r="M17" s="51">
        <f t="shared" si="1"/>
        <v>0.13955555555555554</v>
      </c>
      <c r="N17" s="51">
        <f t="shared" si="1"/>
        <v>0.18591666666666665</v>
      </c>
      <c r="O17" s="130">
        <f t="shared" si="1"/>
        <v>0.3557358333333333</v>
      </c>
      <c r="P17" s="51">
        <f t="shared" si="1"/>
        <v>0.37375416666666667</v>
      </c>
      <c r="Q17" s="51">
        <f t="shared" si="1"/>
        <v>0.15389285714285714</v>
      </c>
      <c r="R17" s="51">
        <f t="shared" si="1"/>
        <v>0.475</v>
      </c>
      <c r="S17" s="51">
        <f t="shared" si="1"/>
        <v>0.220725</v>
      </c>
      <c r="T17" s="130">
        <f t="shared" si="1"/>
        <v>0.25019444444444444</v>
      </c>
      <c r="U17" s="76"/>
      <c r="V17" s="74"/>
      <c r="W17" s="74"/>
      <c r="X17" s="74"/>
    </row>
    <row r="18" spans="1:24" s="73" customFormat="1" ht="11.25" customHeight="1">
      <c r="A18" s="245" t="s">
        <v>24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7"/>
      <c r="U18" s="9"/>
      <c r="V18" s="22"/>
      <c r="W18" s="22"/>
      <c r="X18" s="22"/>
    </row>
    <row r="19" spans="1:24" s="154" customFormat="1" ht="22.5" customHeight="1">
      <c r="A19" s="189" t="s">
        <v>104</v>
      </c>
      <c r="B19" s="208" t="s">
        <v>105</v>
      </c>
      <c r="C19" s="209"/>
      <c r="D19" s="139">
        <v>100</v>
      </c>
      <c r="E19" s="140">
        <v>12.99</v>
      </c>
      <c r="F19" s="140">
        <f>0.9*D19/60</f>
        <v>1.5</v>
      </c>
      <c r="G19" s="138">
        <f>3.1*D19/60</f>
        <v>5.166666666666667</v>
      </c>
      <c r="H19" s="138">
        <f>5.6*D19/60</f>
        <v>9.333333333333334</v>
      </c>
      <c r="I19" s="140">
        <f>F19*4+G19*9+H19*4</f>
        <v>89.83333333333334</v>
      </c>
      <c r="J19" s="141">
        <f>0.1*D19/60</f>
        <v>0.16666666666666666</v>
      </c>
      <c r="K19" s="141">
        <f>0.1*D19/60</f>
        <v>0.16666666666666666</v>
      </c>
      <c r="L19" s="140">
        <f>12.3*D19/60</f>
        <v>20.5</v>
      </c>
      <c r="M19" s="141">
        <f>0.02*D19/60</f>
        <v>0.03333333333333333</v>
      </c>
      <c r="N19" s="141">
        <f>0.5*D19/60</f>
        <v>0.8333333333333334</v>
      </c>
      <c r="O19" s="138">
        <f>59.9*D19/60</f>
        <v>99.83333333333333</v>
      </c>
      <c r="P19" s="138">
        <f>31.3*D19/60</f>
        <v>52.166666666666664</v>
      </c>
      <c r="Q19" s="120">
        <f>0.4228*D19/60</f>
        <v>0.7046666666666667</v>
      </c>
      <c r="R19" s="141">
        <f>0.003*D19/60</f>
        <v>0.005</v>
      </c>
      <c r="S19" s="138">
        <f>16.3*D19/60</f>
        <v>27.166666666666668</v>
      </c>
      <c r="T19" s="140">
        <f>0.7*D19/60</f>
        <v>1.1666666666666667</v>
      </c>
      <c r="U19" s="152"/>
      <c r="V19" s="153"/>
      <c r="W19" s="153"/>
      <c r="X19" s="153"/>
    </row>
    <row r="20" spans="1:24" s="154" customFormat="1" ht="15" customHeight="1">
      <c r="A20" s="183">
        <v>102</v>
      </c>
      <c r="B20" s="208" t="s">
        <v>70</v>
      </c>
      <c r="C20" s="209"/>
      <c r="D20" s="137">
        <v>250</v>
      </c>
      <c r="E20" s="140">
        <v>10.45</v>
      </c>
      <c r="F20" s="140">
        <v>6.22</v>
      </c>
      <c r="G20" s="140">
        <v>3.99</v>
      </c>
      <c r="H20" s="140">
        <v>21.73</v>
      </c>
      <c r="I20" s="140">
        <v>147.71</v>
      </c>
      <c r="J20" s="140">
        <v>0.27</v>
      </c>
      <c r="K20" s="140">
        <v>0.09</v>
      </c>
      <c r="L20" s="140">
        <v>9</v>
      </c>
      <c r="M20" s="141">
        <v>0.001</v>
      </c>
      <c r="N20" s="140">
        <v>0.257</v>
      </c>
      <c r="O20" s="140">
        <v>54.13</v>
      </c>
      <c r="P20" s="140">
        <v>183.2</v>
      </c>
      <c r="Q20" s="140">
        <v>1.157</v>
      </c>
      <c r="R20" s="141">
        <v>0.013</v>
      </c>
      <c r="S20" s="140">
        <v>49.63</v>
      </c>
      <c r="T20" s="140">
        <v>1.03</v>
      </c>
      <c r="U20" s="152"/>
      <c r="V20" s="153"/>
      <c r="W20" s="153"/>
      <c r="X20" s="153"/>
    </row>
    <row r="21" spans="1:24" s="154" customFormat="1" ht="23.25" customHeight="1">
      <c r="A21" s="183">
        <v>266</v>
      </c>
      <c r="B21" s="208" t="s">
        <v>116</v>
      </c>
      <c r="C21" s="209"/>
      <c r="D21" s="139">
        <v>100</v>
      </c>
      <c r="E21" s="140">
        <v>52.29</v>
      </c>
      <c r="F21" s="140">
        <v>18.54</v>
      </c>
      <c r="G21" s="140">
        <v>25.86</v>
      </c>
      <c r="H21" s="140">
        <v>4.76</v>
      </c>
      <c r="I21" s="140">
        <v>325.96</v>
      </c>
      <c r="J21" s="140">
        <v>0.23</v>
      </c>
      <c r="K21" s="140">
        <v>0.26</v>
      </c>
      <c r="L21" s="140">
        <v>0.54</v>
      </c>
      <c r="M21" s="140">
        <f>0.04*D21/80</f>
        <v>0.05</v>
      </c>
      <c r="N21" s="137">
        <v>0.75</v>
      </c>
      <c r="O21" s="138">
        <v>60.56</v>
      </c>
      <c r="P21" s="138">
        <v>222.34</v>
      </c>
      <c r="Q21" s="140">
        <v>2.85</v>
      </c>
      <c r="R21" s="141">
        <f>0.04*D21/80</f>
        <v>0.05</v>
      </c>
      <c r="S21" s="138">
        <v>30.56</v>
      </c>
      <c r="T21" s="140">
        <v>2.41</v>
      </c>
      <c r="U21" s="152"/>
      <c r="V21" s="153"/>
      <c r="W21" s="153"/>
      <c r="X21" s="153"/>
    </row>
    <row r="22" spans="1:24" s="154" customFormat="1" ht="19.5" customHeight="1">
      <c r="A22" s="183">
        <v>203</v>
      </c>
      <c r="B22" s="208" t="s">
        <v>66</v>
      </c>
      <c r="C22" s="209"/>
      <c r="D22" s="139">
        <v>180</v>
      </c>
      <c r="E22" s="140">
        <v>8.77</v>
      </c>
      <c r="F22" s="140">
        <f>5.7*D22/150</f>
        <v>6.84</v>
      </c>
      <c r="G22" s="140">
        <f>3.43*D22/150</f>
        <v>4.116</v>
      </c>
      <c r="H22" s="140">
        <f>36.45*D22/150</f>
        <v>43.74000000000001</v>
      </c>
      <c r="I22" s="140">
        <f>F22*4+G22*9+H22*4</f>
        <v>239.36400000000003</v>
      </c>
      <c r="J22" s="140">
        <f>0.09*D22/150</f>
        <v>0.108</v>
      </c>
      <c r="K22" s="140">
        <f>0.03*D22/150</f>
        <v>0.036</v>
      </c>
      <c r="L22" s="140">
        <v>0</v>
      </c>
      <c r="M22" s="141">
        <f>0.03*D22/150</f>
        <v>0.036</v>
      </c>
      <c r="N22" s="140">
        <f>1.25*D22/150</f>
        <v>1.5</v>
      </c>
      <c r="O22" s="140">
        <f>13.28*D22/150</f>
        <v>15.936</v>
      </c>
      <c r="P22" s="140">
        <f>46.21*D22/150</f>
        <v>55.452</v>
      </c>
      <c r="Q22" s="140">
        <f>0.78*D22/150</f>
        <v>0.936</v>
      </c>
      <c r="R22" s="141">
        <f>0.0015*D22/150</f>
        <v>0.0018000000000000002</v>
      </c>
      <c r="S22" s="140">
        <f>8.47*D22/150</f>
        <v>10.164000000000001</v>
      </c>
      <c r="T22" s="140">
        <f>0.86*D22/150</f>
        <v>1.032</v>
      </c>
      <c r="U22" s="152"/>
      <c r="V22" s="153"/>
      <c r="W22" s="153"/>
      <c r="X22" s="153"/>
    </row>
    <row r="23" spans="1:24" s="154" customFormat="1" ht="11.25">
      <c r="A23" s="69">
        <v>345</v>
      </c>
      <c r="B23" s="213" t="s">
        <v>44</v>
      </c>
      <c r="C23" s="213"/>
      <c r="D23" s="71">
        <v>200</v>
      </c>
      <c r="E23" s="67">
        <v>4.9</v>
      </c>
      <c r="F23" s="67">
        <v>0.06</v>
      </c>
      <c r="G23" s="67">
        <v>0.02</v>
      </c>
      <c r="H23" s="67">
        <v>20.73</v>
      </c>
      <c r="I23" s="67">
        <v>83.34</v>
      </c>
      <c r="J23" s="67">
        <v>0</v>
      </c>
      <c r="K23" s="67">
        <v>0</v>
      </c>
      <c r="L23" s="67">
        <v>2.5</v>
      </c>
      <c r="M23" s="67">
        <v>0.004</v>
      </c>
      <c r="N23" s="67">
        <v>0.2</v>
      </c>
      <c r="O23" s="67">
        <v>4</v>
      </c>
      <c r="P23" s="67">
        <v>3.3</v>
      </c>
      <c r="Q23" s="67">
        <v>0.08</v>
      </c>
      <c r="R23" s="67">
        <v>0.001</v>
      </c>
      <c r="S23" s="67">
        <v>1.7</v>
      </c>
      <c r="T23" s="67">
        <v>0.15</v>
      </c>
      <c r="U23" s="152"/>
      <c r="V23" s="153"/>
      <c r="W23" s="153"/>
      <c r="X23" s="153"/>
    </row>
    <row r="24" spans="1:24" s="154" customFormat="1" ht="11.25" customHeight="1">
      <c r="A24" s="52" t="s">
        <v>58</v>
      </c>
      <c r="B24" s="208" t="s">
        <v>42</v>
      </c>
      <c r="C24" s="209"/>
      <c r="D24" s="139">
        <v>40</v>
      </c>
      <c r="E24" s="140">
        <v>2.08</v>
      </c>
      <c r="F24" s="140">
        <f>2.64*D24/40</f>
        <v>2.64</v>
      </c>
      <c r="G24" s="140">
        <f>0.48*D24/40</f>
        <v>0.48</v>
      </c>
      <c r="H24" s="140">
        <f>13.68*D24/40</f>
        <v>13.680000000000001</v>
      </c>
      <c r="I24" s="138">
        <f>F24*4+G24*9+H24*4</f>
        <v>69.60000000000001</v>
      </c>
      <c r="J24" s="137">
        <f>0.08*D24/40</f>
        <v>0.08</v>
      </c>
      <c r="K24" s="140">
        <f>0.04*D24/40</f>
        <v>0.04</v>
      </c>
      <c r="L24" s="139">
        <v>0</v>
      </c>
      <c r="M24" s="139">
        <v>0</v>
      </c>
      <c r="N24" s="140">
        <f>2.4*D24/40</f>
        <v>2.4</v>
      </c>
      <c r="O24" s="140">
        <f>14*D24/40</f>
        <v>14</v>
      </c>
      <c r="P24" s="140">
        <f>63.2*D24/40</f>
        <v>63.2</v>
      </c>
      <c r="Q24" s="140">
        <f>1.2*D24/40</f>
        <v>1.2</v>
      </c>
      <c r="R24" s="141">
        <f>0.001*D24/40</f>
        <v>0.001</v>
      </c>
      <c r="S24" s="140">
        <f>9.4*D24/40</f>
        <v>9.4</v>
      </c>
      <c r="T24" s="137">
        <f>0.78*D24/40</f>
        <v>0.78</v>
      </c>
      <c r="U24" s="160"/>
      <c r="V24" s="161"/>
      <c r="W24" s="161"/>
      <c r="X24" s="161"/>
    </row>
    <row r="25" spans="1:24" s="73" customFormat="1" ht="11.25" customHeight="1">
      <c r="A25" s="144" t="s">
        <v>58</v>
      </c>
      <c r="B25" s="208" t="s">
        <v>47</v>
      </c>
      <c r="C25" s="209"/>
      <c r="D25" s="139">
        <v>30</v>
      </c>
      <c r="E25" s="140">
        <v>2.52</v>
      </c>
      <c r="F25" s="140">
        <f>1.52*D25/30</f>
        <v>1.52</v>
      </c>
      <c r="G25" s="141">
        <f>0.16*D25/30</f>
        <v>0.16</v>
      </c>
      <c r="H25" s="141">
        <f>9.84*D25/30</f>
        <v>9.84</v>
      </c>
      <c r="I25" s="141">
        <f>F25*4+G25*9+H25*4</f>
        <v>46.879999999999995</v>
      </c>
      <c r="J25" s="141">
        <f>0.02*D25/30</f>
        <v>0.02</v>
      </c>
      <c r="K25" s="141">
        <f>0.01*D25/30</f>
        <v>0.01</v>
      </c>
      <c r="L25" s="141">
        <f>0.44*D25/30</f>
        <v>0.44</v>
      </c>
      <c r="M25" s="141">
        <v>0</v>
      </c>
      <c r="N25" s="141">
        <f>0.7*D25/30</f>
        <v>0.7</v>
      </c>
      <c r="O25" s="141">
        <f>4*D25/30</f>
        <v>4</v>
      </c>
      <c r="P25" s="141">
        <f>13*D25/30</f>
        <v>13</v>
      </c>
      <c r="Q25" s="141">
        <f>0.008*D25/30</f>
        <v>0.008</v>
      </c>
      <c r="R25" s="141">
        <f>0.001*D25/30</f>
        <v>0.001</v>
      </c>
      <c r="S25" s="141">
        <v>0</v>
      </c>
      <c r="T25" s="141">
        <f>0.22*D25/30</f>
        <v>0.22</v>
      </c>
      <c r="U25" s="26"/>
      <c r="V25" s="27"/>
      <c r="W25" s="27"/>
      <c r="X25" s="27"/>
    </row>
    <row r="26" spans="1:24" s="73" customFormat="1" ht="11.25" customHeight="1">
      <c r="A26" s="133" t="s">
        <v>25</v>
      </c>
      <c r="B26" s="134"/>
      <c r="C26" s="134"/>
      <c r="D26" s="135">
        <f aca="true" t="shared" si="2" ref="D26:I26">SUM(D19:D25)</f>
        <v>900</v>
      </c>
      <c r="E26" s="150">
        <f t="shared" si="2"/>
        <v>93.99999999999999</v>
      </c>
      <c r="F26" s="127">
        <f t="shared" si="2"/>
        <v>37.32</v>
      </c>
      <c r="G26" s="126">
        <f t="shared" si="2"/>
        <v>39.79266666666666</v>
      </c>
      <c r="H26" s="132">
        <f t="shared" si="2"/>
        <v>123.81333333333335</v>
      </c>
      <c r="I26" s="126">
        <f t="shared" si="2"/>
        <v>1002.6873333333334</v>
      </c>
      <c r="J26" s="126">
        <f aca="true" t="shared" si="3" ref="J26:T26">SUM(J19:J25)</f>
        <v>0.8746666666666666</v>
      </c>
      <c r="K26" s="126">
        <f t="shared" si="3"/>
        <v>0.6026666666666667</v>
      </c>
      <c r="L26" s="126">
        <f t="shared" si="3"/>
        <v>32.98</v>
      </c>
      <c r="M26" s="127">
        <f t="shared" si="3"/>
        <v>0.12433333333333335</v>
      </c>
      <c r="N26" s="127">
        <f t="shared" si="3"/>
        <v>6.640333333333333</v>
      </c>
      <c r="O26" s="132">
        <f t="shared" si="3"/>
        <v>252.45933333333335</v>
      </c>
      <c r="P26" s="126">
        <f t="shared" si="3"/>
        <v>592.6586666666667</v>
      </c>
      <c r="Q26" s="128">
        <f t="shared" si="3"/>
        <v>6.935666666666667</v>
      </c>
      <c r="R26" s="128">
        <f t="shared" si="3"/>
        <v>0.0728</v>
      </c>
      <c r="S26" s="126">
        <f t="shared" si="3"/>
        <v>128.62066666666666</v>
      </c>
      <c r="T26" s="127">
        <f t="shared" si="3"/>
        <v>6.788666666666668</v>
      </c>
      <c r="U26" s="29"/>
      <c r="V26" s="74"/>
      <c r="W26" s="74"/>
      <c r="X26" s="74"/>
    </row>
    <row r="27" spans="1:24" s="73" customFormat="1" ht="11.25" customHeight="1">
      <c r="A27" s="225" t="s">
        <v>55</v>
      </c>
      <c r="B27" s="226"/>
      <c r="C27" s="226"/>
      <c r="D27" s="227"/>
      <c r="E27" s="174"/>
      <c r="F27" s="148">
        <f aca="true" t="shared" si="4" ref="F27:T27">F26/F34</f>
        <v>0.4146666666666667</v>
      </c>
      <c r="G27" s="51">
        <f t="shared" si="4"/>
        <v>0.43252898550724633</v>
      </c>
      <c r="H27" s="51">
        <f t="shared" si="4"/>
        <v>0.3232724107919931</v>
      </c>
      <c r="I27" s="51">
        <f t="shared" si="4"/>
        <v>0.36863504901960786</v>
      </c>
      <c r="J27" s="51">
        <f t="shared" si="4"/>
        <v>0.6247619047619047</v>
      </c>
      <c r="K27" s="51">
        <f t="shared" si="4"/>
        <v>0.37666666666666665</v>
      </c>
      <c r="L27" s="51">
        <f t="shared" si="4"/>
        <v>0.4711428571428571</v>
      </c>
      <c r="M27" s="51">
        <f t="shared" si="4"/>
        <v>0.13814814814814816</v>
      </c>
      <c r="N27" s="51">
        <f t="shared" si="4"/>
        <v>0.5533611111111111</v>
      </c>
      <c r="O27" s="130">
        <f t="shared" si="4"/>
        <v>0.21038277777777778</v>
      </c>
      <c r="P27" s="51">
        <f t="shared" si="4"/>
        <v>0.4938822222222223</v>
      </c>
      <c r="Q27" s="51">
        <f t="shared" si="4"/>
        <v>0.49540476190476196</v>
      </c>
      <c r="R27" s="51">
        <f t="shared" si="4"/>
        <v>0.728</v>
      </c>
      <c r="S27" s="51">
        <f t="shared" si="4"/>
        <v>0.42873555555555554</v>
      </c>
      <c r="T27" s="130">
        <f t="shared" si="4"/>
        <v>0.37714814814814823</v>
      </c>
      <c r="U27" s="76"/>
      <c r="V27" s="74"/>
      <c r="W27" s="74"/>
      <c r="X27" s="74"/>
    </row>
    <row r="28" spans="1:24" s="73" customFormat="1" ht="15.75" customHeight="1">
      <c r="A28" s="245" t="s">
        <v>26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  <c r="U28" s="9"/>
      <c r="V28" s="22"/>
      <c r="W28" s="22"/>
      <c r="X28" s="22"/>
    </row>
    <row r="29" spans="1:20" s="85" customFormat="1" ht="15.75" customHeight="1">
      <c r="A29" s="166"/>
      <c r="B29" s="223"/>
      <c r="C29" s="223"/>
      <c r="D29" s="163"/>
      <c r="E29" s="164"/>
      <c r="F29" s="164"/>
      <c r="G29" s="164"/>
      <c r="H29" s="164"/>
      <c r="I29" s="164"/>
      <c r="J29" s="167"/>
      <c r="K29" s="164"/>
      <c r="L29" s="164"/>
      <c r="M29" s="167"/>
      <c r="N29" s="168"/>
      <c r="O29" s="169"/>
      <c r="P29" s="164"/>
      <c r="Q29" s="164"/>
      <c r="R29" s="167"/>
      <c r="S29" s="164"/>
      <c r="T29" s="164"/>
    </row>
    <row r="30" spans="1:20" s="68" customFormat="1" ht="15.75" customHeight="1">
      <c r="A30" s="87"/>
      <c r="B30" s="213"/>
      <c r="C30" s="213"/>
      <c r="D30" s="7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4" s="1" customFormat="1" ht="15.75" customHeight="1">
      <c r="A31" s="133" t="s">
        <v>27</v>
      </c>
      <c r="B31" s="134"/>
      <c r="C31" s="134"/>
      <c r="D31" s="135">
        <f aca="true" t="shared" si="5" ref="D31:T31">SUM(D29:D30)</f>
        <v>0</v>
      </c>
      <c r="E31" s="150">
        <f t="shared" si="5"/>
        <v>0</v>
      </c>
      <c r="F31" s="150">
        <f t="shared" si="5"/>
        <v>0</v>
      </c>
      <c r="G31" s="150">
        <f t="shared" si="5"/>
        <v>0</v>
      </c>
      <c r="H31" s="150">
        <f t="shared" si="5"/>
        <v>0</v>
      </c>
      <c r="I31" s="150">
        <f t="shared" si="5"/>
        <v>0</v>
      </c>
      <c r="J31" s="150">
        <f t="shared" si="5"/>
        <v>0</v>
      </c>
      <c r="K31" s="150">
        <f t="shared" si="5"/>
        <v>0</v>
      </c>
      <c r="L31" s="150">
        <f t="shared" si="5"/>
        <v>0</v>
      </c>
      <c r="M31" s="150">
        <f t="shared" si="5"/>
        <v>0</v>
      </c>
      <c r="N31" s="150">
        <f t="shared" si="5"/>
        <v>0</v>
      </c>
      <c r="O31" s="150">
        <f t="shared" si="5"/>
        <v>0</v>
      </c>
      <c r="P31" s="150">
        <f t="shared" si="5"/>
        <v>0</v>
      </c>
      <c r="Q31" s="150">
        <f t="shared" si="5"/>
        <v>0</v>
      </c>
      <c r="R31" s="150">
        <f t="shared" si="5"/>
        <v>0</v>
      </c>
      <c r="S31" s="150">
        <f t="shared" si="5"/>
        <v>0</v>
      </c>
      <c r="T31" s="150">
        <f t="shared" si="5"/>
        <v>0</v>
      </c>
      <c r="U31" s="29"/>
      <c r="V31" s="74"/>
      <c r="W31" s="74"/>
      <c r="X31" s="74"/>
    </row>
    <row r="32" spans="1:24" s="1" customFormat="1" ht="11.25" customHeight="1">
      <c r="A32" s="225" t="s">
        <v>55</v>
      </c>
      <c r="B32" s="226"/>
      <c r="C32" s="226"/>
      <c r="D32" s="227"/>
      <c r="E32" s="175"/>
      <c r="F32" s="51">
        <f>F31/F34</f>
        <v>0</v>
      </c>
      <c r="G32" s="51">
        <f aca="true" t="shared" si="6" ref="G32:T32">G31/G34</f>
        <v>0</v>
      </c>
      <c r="H32" s="51">
        <f t="shared" si="6"/>
        <v>0</v>
      </c>
      <c r="I32" s="51">
        <f t="shared" si="6"/>
        <v>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130">
        <f t="shared" si="6"/>
        <v>0</v>
      </c>
      <c r="U32" s="76"/>
      <c r="V32" s="74"/>
      <c r="W32" s="74"/>
      <c r="X32" s="74"/>
    </row>
    <row r="33" spans="1:24" s="1" customFormat="1" ht="11.25" customHeight="1">
      <c r="A33" s="133" t="s">
        <v>54</v>
      </c>
      <c r="B33" s="134"/>
      <c r="C33" s="134"/>
      <c r="D33" s="61">
        <f>D26+D16</f>
        <v>1540</v>
      </c>
      <c r="E33" s="151">
        <f>E26+E16</f>
        <v>167</v>
      </c>
      <c r="F33" s="127">
        <f aca="true" t="shared" si="7" ref="F33:T33">SUM(F16,F26,F31)</f>
        <v>54.48</v>
      </c>
      <c r="G33" s="126">
        <f t="shared" si="7"/>
        <v>59.52266666666666</v>
      </c>
      <c r="H33" s="126">
        <f t="shared" si="7"/>
        <v>229.70333333333335</v>
      </c>
      <c r="I33" s="126">
        <f t="shared" si="7"/>
        <v>1675.9973333333335</v>
      </c>
      <c r="J33" s="127">
        <f t="shared" si="7"/>
        <v>1.1021166666666666</v>
      </c>
      <c r="K33" s="127">
        <f t="shared" si="7"/>
        <v>1.1761666666666668</v>
      </c>
      <c r="L33" s="126">
        <f t="shared" si="7"/>
        <v>48.9154</v>
      </c>
      <c r="M33" s="127">
        <f t="shared" si="7"/>
        <v>0.24993333333333334</v>
      </c>
      <c r="N33" s="127">
        <f t="shared" si="7"/>
        <v>8.871333333333332</v>
      </c>
      <c r="O33" s="126">
        <f t="shared" si="7"/>
        <v>679.3423333333333</v>
      </c>
      <c r="P33" s="126">
        <f t="shared" si="7"/>
        <v>1041.1636666666668</v>
      </c>
      <c r="Q33" s="127">
        <f t="shared" si="7"/>
        <v>9.090166666666667</v>
      </c>
      <c r="R33" s="128">
        <f t="shared" si="7"/>
        <v>0.1203</v>
      </c>
      <c r="S33" s="127">
        <f t="shared" si="7"/>
        <v>194.83816666666667</v>
      </c>
      <c r="T33" s="127">
        <f t="shared" si="7"/>
        <v>11.292166666666667</v>
      </c>
      <c r="U33" s="31"/>
      <c r="V33" s="74"/>
      <c r="W33" s="74"/>
      <c r="X33" s="74"/>
    </row>
    <row r="34" spans="1:24" s="1" customFormat="1" ht="11.25" customHeight="1">
      <c r="A34" s="201" t="s">
        <v>56</v>
      </c>
      <c r="B34" s="202"/>
      <c r="C34" s="202"/>
      <c r="D34" s="203"/>
      <c r="E34" s="180"/>
      <c r="F34" s="140">
        <v>90</v>
      </c>
      <c r="G34" s="138">
        <v>92</v>
      </c>
      <c r="H34" s="138">
        <v>383</v>
      </c>
      <c r="I34" s="138">
        <v>2720</v>
      </c>
      <c r="J34" s="140">
        <v>1.4</v>
      </c>
      <c r="K34" s="140">
        <v>1.6</v>
      </c>
      <c r="L34" s="139">
        <v>70</v>
      </c>
      <c r="M34" s="140">
        <v>0.9</v>
      </c>
      <c r="N34" s="139">
        <v>12</v>
      </c>
      <c r="O34" s="139">
        <v>1200</v>
      </c>
      <c r="P34" s="139">
        <v>1200</v>
      </c>
      <c r="Q34" s="139">
        <v>14</v>
      </c>
      <c r="R34" s="138">
        <v>0.1</v>
      </c>
      <c r="S34" s="139">
        <v>300</v>
      </c>
      <c r="T34" s="140">
        <v>18</v>
      </c>
      <c r="U34" s="77"/>
      <c r="V34" s="78"/>
      <c r="W34" s="78"/>
      <c r="X34" s="78"/>
    </row>
    <row r="35" spans="1:24" s="1" customFormat="1" ht="11.25" customHeight="1">
      <c r="A35" s="225" t="s">
        <v>55</v>
      </c>
      <c r="B35" s="226"/>
      <c r="C35" s="226"/>
      <c r="D35" s="227"/>
      <c r="E35" s="175"/>
      <c r="F35" s="51">
        <f aca="true" t="shared" si="8" ref="F35:T35">F33/F34</f>
        <v>0.6053333333333333</v>
      </c>
      <c r="G35" s="130">
        <f t="shared" si="8"/>
        <v>0.6469855072463767</v>
      </c>
      <c r="H35" s="130">
        <f t="shared" si="8"/>
        <v>0.5997476066144474</v>
      </c>
      <c r="I35" s="130">
        <f t="shared" si="8"/>
        <v>0.6161754901960785</v>
      </c>
      <c r="J35" s="130">
        <f t="shared" si="8"/>
        <v>0.7872261904761905</v>
      </c>
      <c r="K35" s="130">
        <f t="shared" si="8"/>
        <v>0.7351041666666667</v>
      </c>
      <c r="L35" s="130">
        <f t="shared" si="8"/>
        <v>0.6987914285714285</v>
      </c>
      <c r="M35" s="33">
        <f t="shared" si="8"/>
        <v>0.27770370370370373</v>
      </c>
      <c r="N35" s="33">
        <f t="shared" si="8"/>
        <v>0.7392777777777777</v>
      </c>
      <c r="O35" s="130">
        <f t="shared" si="8"/>
        <v>0.5661186111111111</v>
      </c>
      <c r="P35" s="130">
        <f t="shared" si="8"/>
        <v>0.867636388888889</v>
      </c>
      <c r="Q35" s="130">
        <f t="shared" si="8"/>
        <v>0.6492976190476191</v>
      </c>
      <c r="R35" s="33">
        <f t="shared" si="8"/>
        <v>1.203</v>
      </c>
      <c r="S35" s="130">
        <f t="shared" si="8"/>
        <v>0.6494605555555556</v>
      </c>
      <c r="T35" s="33">
        <f t="shared" si="8"/>
        <v>0.6273425925925926</v>
      </c>
      <c r="U35" s="38"/>
      <c r="V35" s="39"/>
      <c r="W35" s="39"/>
      <c r="X35" s="39"/>
    </row>
    <row r="36" spans="1:24" s="1" customFormat="1" ht="11.25" customHeight="1">
      <c r="A36" s="41"/>
      <c r="B36" s="41"/>
      <c r="C36" s="181"/>
      <c r="D36" s="181"/>
      <c r="E36" s="181"/>
      <c r="F36" s="59"/>
      <c r="G36" s="121"/>
      <c r="H36" s="2"/>
      <c r="I36" s="2"/>
      <c r="J36" s="121"/>
      <c r="K36" s="121"/>
      <c r="L36" s="121"/>
      <c r="M36" s="220" t="s">
        <v>57</v>
      </c>
      <c r="N36" s="220"/>
      <c r="O36" s="220"/>
      <c r="P36" s="220"/>
      <c r="Q36" s="220"/>
      <c r="R36" s="220"/>
      <c r="S36" s="220"/>
      <c r="T36" s="220"/>
      <c r="U36" s="10"/>
      <c r="V36" s="17"/>
      <c r="W36" s="17"/>
      <c r="X36" s="17"/>
    </row>
    <row r="37" spans="1:25" s="1" customFormat="1" ht="11.25" customHeight="1">
      <c r="A37" s="222" t="s">
        <v>28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11"/>
      <c r="V37" s="23"/>
      <c r="W37" s="23"/>
      <c r="X37" s="23"/>
      <c r="Y37" s="40"/>
    </row>
    <row r="38" spans="1:24" s="1" customFormat="1" ht="11.25" customHeight="1">
      <c r="A38" s="43" t="s">
        <v>48</v>
      </c>
      <c r="B38" s="41"/>
      <c r="C38" s="41"/>
      <c r="D38" s="2"/>
      <c r="E38" s="2"/>
      <c r="F38" s="119"/>
      <c r="G38" s="196" t="s">
        <v>29</v>
      </c>
      <c r="H38" s="196"/>
      <c r="I38" s="196"/>
      <c r="J38" s="121"/>
      <c r="K38" s="121"/>
      <c r="L38" s="215" t="s">
        <v>1</v>
      </c>
      <c r="M38" s="215"/>
      <c r="N38" s="214" t="str">
        <f>N5</f>
        <v>весенне-летний</v>
      </c>
      <c r="O38" s="214"/>
      <c r="P38" s="214"/>
      <c r="Q38" s="214"/>
      <c r="R38" s="121"/>
      <c r="S38" s="121"/>
      <c r="T38" s="121"/>
      <c r="U38" s="12"/>
      <c r="V38" s="18"/>
      <c r="W38" s="18"/>
      <c r="X38" s="18"/>
    </row>
    <row r="39" spans="1:24" s="1" customFormat="1" ht="11.25" customHeight="1">
      <c r="A39" s="41"/>
      <c r="B39" s="41"/>
      <c r="C39" s="41"/>
      <c r="D39" s="215" t="s">
        <v>2</v>
      </c>
      <c r="E39" s="215"/>
      <c r="F39" s="215"/>
      <c r="G39" s="5">
        <v>1</v>
      </c>
      <c r="H39" s="121"/>
      <c r="I39" s="2"/>
      <c r="J39" s="2"/>
      <c r="K39" s="2"/>
      <c r="L39" s="215" t="s">
        <v>3</v>
      </c>
      <c r="M39" s="215"/>
      <c r="N39" s="196" t="str">
        <f>N6</f>
        <v>с 7-11 лет;12 и старше</v>
      </c>
      <c r="O39" s="196"/>
      <c r="P39" s="196"/>
      <c r="Q39" s="196"/>
      <c r="R39" s="196"/>
      <c r="S39" s="196"/>
      <c r="T39" s="196"/>
      <c r="U39" s="13"/>
      <c r="V39" s="19"/>
      <c r="W39" s="19"/>
      <c r="X39" s="19"/>
    </row>
    <row r="40" spans="1:24" s="1" customFormat="1" ht="21.75" customHeight="1">
      <c r="A40" s="216" t="s">
        <v>4</v>
      </c>
      <c r="B40" s="197" t="s">
        <v>5</v>
      </c>
      <c r="C40" s="198"/>
      <c r="D40" s="216" t="s">
        <v>6</v>
      </c>
      <c r="E40" s="178"/>
      <c r="F40" s="204" t="s">
        <v>7</v>
      </c>
      <c r="G40" s="205"/>
      <c r="H40" s="206"/>
      <c r="I40" s="216" t="s">
        <v>8</v>
      </c>
      <c r="J40" s="204" t="s">
        <v>9</v>
      </c>
      <c r="K40" s="205"/>
      <c r="L40" s="205"/>
      <c r="M40" s="205"/>
      <c r="N40" s="206"/>
      <c r="O40" s="204" t="s">
        <v>10</v>
      </c>
      <c r="P40" s="205"/>
      <c r="Q40" s="205"/>
      <c r="R40" s="205"/>
      <c r="S40" s="205"/>
      <c r="T40" s="206"/>
      <c r="U40" s="7"/>
      <c r="V40" s="20"/>
      <c r="W40" s="20"/>
      <c r="X40" s="20"/>
    </row>
    <row r="41" spans="1:24" s="1" customFormat="1" ht="21" customHeight="1">
      <c r="A41" s="217"/>
      <c r="B41" s="199"/>
      <c r="C41" s="200"/>
      <c r="D41" s="217"/>
      <c r="E41" s="177"/>
      <c r="F41" s="57" t="s">
        <v>11</v>
      </c>
      <c r="G41" s="182" t="s">
        <v>12</v>
      </c>
      <c r="H41" s="182" t="s">
        <v>13</v>
      </c>
      <c r="I41" s="217"/>
      <c r="J41" s="182" t="s">
        <v>14</v>
      </c>
      <c r="K41" s="182" t="s">
        <v>50</v>
      </c>
      <c r="L41" s="182" t="s">
        <v>15</v>
      </c>
      <c r="M41" s="182" t="s">
        <v>16</v>
      </c>
      <c r="N41" s="182" t="s">
        <v>17</v>
      </c>
      <c r="O41" s="182" t="s">
        <v>18</v>
      </c>
      <c r="P41" s="182" t="s">
        <v>19</v>
      </c>
      <c r="Q41" s="182" t="s">
        <v>51</v>
      </c>
      <c r="R41" s="182" t="s">
        <v>52</v>
      </c>
      <c r="S41" s="182" t="s">
        <v>20</v>
      </c>
      <c r="T41" s="182" t="s">
        <v>21</v>
      </c>
      <c r="U41" s="7"/>
      <c r="V41" s="20"/>
      <c r="W41" s="20"/>
      <c r="X41" s="20"/>
    </row>
    <row r="42" spans="1:24" s="1" customFormat="1" ht="11.25" customHeight="1">
      <c r="A42" s="183">
        <v>1</v>
      </c>
      <c r="B42" s="230">
        <v>2</v>
      </c>
      <c r="C42" s="231"/>
      <c r="D42" s="28">
        <v>3</v>
      </c>
      <c r="E42" s="28"/>
      <c r="F42" s="58">
        <v>4</v>
      </c>
      <c r="G42" s="28">
        <v>5</v>
      </c>
      <c r="H42" s="28">
        <v>6</v>
      </c>
      <c r="I42" s="28">
        <v>7</v>
      </c>
      <c r="J42" s="28">
        <v>8</v>
      </c>
      <c r="K42" s="28">
        <v>9</v>
      </c>
      <c r="L42" s="28">
        <v>10</v>
      </c>
      <c r="M42" s="28">
        <v>11</v>
      </c>
      <c r="N42" s="28">
        <v>12</v>
      </c>
      <c r="O42" s="28">
        <v>13</v>
      </c>
      <c r="P42" s="28">
        <v>14</v>
      </c>
      <c r="Q42" s="28">
        <v>15</v>
      </c>
      <c r="R42" s="28">
        <v>16</v>
      </c>
      <c r="S42" s="28">
        <v>17</v>
      </c>
      <c r="T42" s="28">
        <v>18</v>
      </c>
      <c r="U42" s="8"/>
      <c r="V42" s="21"/>
      <c r="W42" s="21"/>
      <c r="X42" s="21"/>
    </row>
    <row r="43" spans="1:24" s="1" customFormat="1" ht="11.25" customHeight="1">
      <c r="A43" s="242" t="str">
        <f>A108</f>
        <v>Завтрак 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4"/>
      <c r="U43" s="9"/>
      <c r="V43" s="22"/>
      <c r="W43" s="22"/>
      <c r="X43" s="22"/>
    </row>
    <row r="44" spans="1:25" s="121" customFormat="1" ht="20.25" customHeight="1">
      <c r="A44" s="162">
        <v>86</v>
      </c>
      <c r="B44" s="240" t="s">
        <v>107</v>
      </c>
      <c r="C44" s="241"/>
      <c r="D44" s="163">
        <v>35</v>
      </c>
      <c r="E44" s="164">
        <v>4.84</v>
      </c>
      <c r="F44" s="164">
        <v>1.36</v>
      </c>
      <c r="G44" s="164">
        <v>1.75</v>
      </c>
      <c r="H44" s="164">
        <v>12.02</v>
      </c>
      <c r="I44" s="164">
        <v>65.82</v>
      </c>
      <c r="J44" s="164">
        <v>0.008</v>
      </c>
      <c r="K44" s="164">
        <v>0.007</v>
      </c>
      <c r="L44" s="164">
        <v>0.1</v>
      </c>
      <c r="M44" s="164">
        <v>0.008</v>
      </c>
      <c r="N44" s="164">
        <v>0.03</v>
      </c>
      <c r="O44" s="164">
        <v>9.85</v>
      </c>
      <c r="P44" s="164">
        <v>7.94</v>
      </c>
      <c r="Q44" s="164">
        <v>0.08</v>
      </c>
      <c r="R44" s="164">
        <v>2.21</v>
      </c>
      <c r="S44" s="164">
        <v>1.84</v>
      </c>
      <c r="T44" s="164">
        <v>0.1</v>
      </c>
      <c r="U44" s="68"/>
      <c r="V44" s="68"/>
      <c r="W44" s="68"/>
      <c r="X44" s="68"/>
      <c r="Y44" s="68"/>
    </row>
    <row r="45" spans="1:25" s="112" customFormat="1" ht="11.25" customHeight="1">
      <c r="A45" s="166">
        <v>222</v>
      </c>
      <c r="B45" s="218" t="s">
        <v>74</v>
      </c>
      <c r="C45" s="219"/>
      <c r="D45" s="163">
        <v>170</v>
      </c>
      <c r="E45" s="164">
        <v>51.85</v>
      </c>
      <c r="F45" s="67">
        <v>13.165</v>
      </c>
      <c r="G45" s="67">
        <v>12.68</v>
      </c>
      <c r="H45" s="67">
        <v>27.803</v>
      </c>
      <c r="I45" s="67">
        <v>278.065</v>
      </c>
      <c r="J45" s="67">
        <v>0.23</v>
      </c>
      <c r="K45" s="67">
        <v>0.36</v>
      </c>
      <c r="L45" s="67">
        <v>0.82</v>
      </c>
      <c r="M45" s="67">
        <v>0.18</v>
      </c>
      <c r="N45" s="67">
        <v>1.2</v>
      </c>
      <c r="O45" s="67">
        <v>190.55</v>
      </c>
      <c r="P45" s="67">
        <v>365.82</v>
      </c>
      <c r="Q45" s="67">
        <v>1.059</v>
      </c>
      <c r="R45" s="67">
        <v>0.018</v>
      </c>
      <c r="S45" s="67">
        <v>82.83</v>
      </c>
      <c r="T45" s="67">
        <v>2.23</v>
      </c>
      <c r="U45" s="68"/>
      <c r="V45" s="68"/>
      <c r="W45" s="68"/>
      <c r="X45" s="68"/>
      <c r="Y45" s="68"/>
    </row>
    <row r="46" spans="1:24" s="112" customFormat="1" ht="12.75" customHeight="1">
      <c r="A46" s="183">
        <v>377</v>
      </c>
      <c r="B46" s="212" t="s">
        <v>41</v>
      </c>
      <c r="C46" s="212"/>
      <c r="D46" s="139">
        <v>200</v>
      </c>
      <c r="E46" s="140">
        <v>3.81</v>
      </c>
      <c r="F46" s="140">
        <v>0.26</v>
      </c>
      <c r="G46" s="140">
        <v>0.06</v>
      </c>
      <c r="H46" s="140">
        <v>15.22</v>
      </c>
      <c r="I46" s="140">
        <f>F46*4+G46*9+H46*4</f>
        <v>62.46</v>
      </c>
      <c r="J46" s="140"/>
      <c r="K46" s="140">
        <v>0.01</v>
      </c>
      <c r="L46" s="140">
        <v>2.9</v>
      </c>
      <c r="M46" s="137">
        <v>0</v>
      </c>
      <c r="N46" s="140">
        <v>0.06</v>
      </c>
      <c r="O46" s="140">
        <v>8.05</v>
      </c>
      <c r="P46" s="140">
        <v>9.78</v>
      </c>
      <c r="Q46" s="140">
        <v>0.017</v>
      </c>
      <c r="R46" s="141">
        <v>0</v>
      </c>
      <c r="S46" s="140">
        <v>5.24</v>
      </c>
      <c r="T46" s="140">
        <v>0.87</v>
      </c>
      <c r="U46" s="117"/>
      <c r="V46" s="118"/>
      <c r="W46" s="118"/>
      <c r="X46" s="118"/>
    </row>
    <row r="47" spans="1:24" s="112" customFormat="1" ht="11.25" customHeight="1">
      <c r="A47" s="149">
        <v>338</v>
      </c>
      <c r="B47" s="212" t="s">
        <v>82</v>
      </c>
      <c r="C47" s="212"/>
      <c r="D47" s="139">
        <v>110</v>
      </c>
      <c r="E47" s="140">
        <v>12.5</v>
      </c>
      <c r="F47" s="140">
        <v>1.5</v>
      </c>
      <c r="G47" s="140">
        <v>0.5</v>
      </c>
      <c r="H47" s="140">
        <v>2.1</v>
      </c>
      <c r="I47" s="140">
        <v>94.5</v>
      </c>
      <c r="J47" s="140">
        <v>0.04</v>
      </c>
      <c r="K47" s="140">
        <v>0.02</v>
      </c>
      <c r="L47" s="139">
        <v>10</v>
      </c>
      <c r="M47" s="139">
        <v>0.02</v>
      </c>
      <c r="N47" s="140">
        <v>0.2</v>
      </c>
      <c r="O47" s="140">
        <v>16</v>
      </c>
      <c r="P47" s="140">
        <v>11</v>
      </c>
      <c r="Q47" s="139">
        <v>0.03</v>
      </c>
      <c r="R47" s="139">
        <v>0.002</v>
      </c>
      <c r="S47" s="140">
        <v>9</v>
      </c>
      <c r="T47" s="140">
        <v>2.2</v>
      </c>
      <c r="U47" s="117"/>
      <c r="V47" s="113"/>
      <c r="W47" s="113"/>
      <c r="X47" s="114"/>
    </row>
    <row r="48" spans="1:24" s="73" customFormat="1" ht="14.25" customHeight="1">
      <c r="A48" s="46" t="str">
        <f>A114</f>
        <v>Итого за Завтрак </v>
      </c>
      <c r="B48" s="47"/>
      <c r="C48" s="47"/>
      <c r="D48" s="135">
        <f aca="true" t="shared" si="9" ref="D48:T48">SUM(D44:D47)</f>
        <v>515</v>
      </c>
      <c r="E48" s="150">
        <f t="shared" si="9"/>
        <v>73</v>
      </c>
      <c r="F48" s="150">
        <f t="shared" si="9"/>
        <v>16.284999999999997</v>
      </c>
      <c r="G48" s="150">
        <f t="shared" si="9"/>
        <v>14.99</v>
      </c>
      <c r="H48" s="150">
        <f t="shared" si="9"/>
        <v>57.143</v>
      </c>
      <c r="I48" s="150">
        <f t="shared" si="9"/>
        <v>500.84499999999997</v>
      </c>
      <c r="J48" s="150">
        <f t="shared" si="9"/>
        <v>0.278</v>
      </c>
      <c r="K48" s="150">
        <f t="shared" si="9"/>
        <v>0.397</v>
      </c>
      <c r="L48" s="150">
        <f t="shared" si="9"/>
        <v>13.82</v>
      </c>
      <c r="M48" s="150">
        <f t="shared" si="9"/>
        <v>0.208</v>
      </c>
      <c r="N48" s="150">
        <f t="shared" si="9"/>
        <v>1.49</v>
      </c>
      <c r="O48" s="150">
        <f t="shared" si="9"/>
        <v>224.45000000000002</v>
      </c>
      <c r="P48" s="150">
        <f t="shared" si="9"/>
        <v>394.53999999999996</v>
      </c>
      <c r="Q48" s="150">
        <f t="shared" si="9"/>
        <v>1.186</v>
      </c>
      <c r="R48" s="150">
        <f t="shared" si="9"/>
        <v>2.2299999999999995</v>
      </c>
      <c r="S48" s="150">
        <f t="shared" si="9"/>
        <v>98.91</v>
      </c>
      <c r="T48" s="150">
        <f t="shared" si="9"/>
        <v>5.4</v>
      </c>
      <c r="U48" s="29"/>
      <c r="V48" s="74"/>
      <c r="W48" s="74"/>
      <c r="X48" s="74"/>
    </row>
    <row r="49" spans="1:24" s="73" customFormat="1" ht="14.25" customHeight="1">
      <c r="A49" s="225" t="s">
        <v>55</v>
      </c>
      <c r="B49" s="226"/>
      <c r="C49" s="226"/>
      <c r="D49" s="227"/>
      <c r="E49" s="175"/>
      <c r="F49" s="51">
        <f aca="true" t="shared" si="10" ref="F49:T49">F48/F66</f>
        <v>0.1809444444444444</v>
      </c>
      <c r="G49" s="51">
        <f t="shared" si="10"/>
        <v>0.16293478260869565</v>
      </c>
      <c r="H49" s="51">
        <f t="shared" si="10"/>
        <v>0.14919843342036554</v>
      </c>
      <c r="I49" s="51">
        <f t="shared" si="10"/>
        <v>0.1841341911764706</v>
      </c>
      <c r="J49" s="51">
        <f t="shared" si="10"/>
        <v>0.1985714285714286</v>
      </c>
      <c r="K49" s="51">
        <f t="shared" si="10"/>
        <v>0.248125</v>
      </c>
      <c r="L49" s="51">
        <f t="shared" si="10"/>
        <v>0.19742857142857143</v>
      </c>
      <c r="M49" s="51">
        <f t="shared" si="10"/>
        <v>0.2311111111111111</v>
      </c>
      <c r="N49" s="51">
        <f t="shared" si="10"/>
        <v>0.12416666666666666</v>
      </c>
      <c r="O49" s="130">
        <f t="shared" si="10"/>
        <v>0.1870416666666667</v>
      </c>
      <c r="P49" s="51">
        <f t="shared" si="10"/>
        <v>0.3287833333333333</v>
      </c>
      <c r="Q49" s="51">
        <f t="shared" si="10"/>
        <v>0.08471428571428571</v>
      </c>
      <c r="R49" s="51">
        <f t="shared" si="10"/>
        <v>22.299999999999994</v>
      </c>
      <c r="S49" s="51">
        <f t="shared" si="10"/>
        <v>0.3297</v>
      </c>
      <c r="T49" s="130">
        <f t="shared" si="10"/>
        <v>0.30000000000000004</v>
      </c>
      <c r="U49" s="76"/>
      <c r="V49" s="74"/>
      <c r="W49" s="74"/>
      <c r="X49" s="74"/>
    </row>
    <row r="50" spans="1:24" s="73" customFormat="1" ht="11.25" customHeight="1">
      <c r="A50" s="245" t="s">
        <v>24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7"/>
      <c r="U50" s="9"/>
      <c r="V50" s="22"/>
      <c r="W50" s="22"/>
      <c r="X50" s="22"/>
    </row>
    <row r="51" spans="1:24" s="154" customFormat="1" ht="13.5" customHeight="1">
      <c r="A51" s="183">
        <v>49</v>
      </c>
      <c r="B51" s="208" t="s">
        <v>85</v>
      </c>
      <c r="C51" s="209"/>
      <c r="D51" s="137">
        <v>100</v>
      </c>
      <c r="E51" s="137">
        <v>11.29</v>
      </c>
      <c r="F51" s="140">
        <v>1.56</v>
      </c>
      <c r="G51" s="140">
        <v>12.03</v>
      </c>
      <c r="H51" s="140">
        <v>8.78</v>
      </c>
      <c r="I51" s="140">
        <v>149.7</v>
      </c>
      <c r="J51" s="141">
        <v>0.05</v>
      </c>
      <c r="K51" s="141">
        <v>0.05</v>
      </c>
      <c r="L51" s="140">
        <v>20.66</v>
      </c>
      <c r="M51" s="140">
        <v>0.002</v>
      </c>
      <c r="N51" s="137">
        <v>2.5</v>
      </c>
      <c r="O51" s="138">
        <v>32.83</v>
      </c>
      <c r="P51" s="138">
        <v>33.85</v>
      </c>
      <c r="Q51" s="140">
        <v>0.5</v>
      </c>
      <c r="R51" s="141">
        <v>0.002</v>
      </c>
      <c r="S51" s="140">
        <v>16.63</v>
      </c>
      <c r="T51" s="140">
        <v>0.56</v>
      </c>
      <c r="U51" s="152"/>
      <c r="V51" s="153"/>
      <c r="W51" s="153"/>
      <c r="X51" s="153"/>
    </row>
    <row r="52" spans="1:24" s="154" customFormat="1" ht="22.5" customHeight="1">
      <c r="A52" s="183">
        <v>82</v>
      </c>
      <c r="B52" s="208" t="s">
        <v>76</v>
      </c>
      <c r="C52" s="209"/>
      <c r="D52" s="137">
        <v>250</v>
      </c>
      <c r="E52" s="137">
        <v>14.27</v>
      </c>
      <c r="F52" s="140">
        <v>2.43</v>
      </c>
      <c r="G52" s="140">
        <v>3.12</v>
      </c>
      <c r="H52" s="140">
        <v>12.01</v>
      </c>
      <c r="I52" s="140">
        <f aca="true" t="shared" si="11" ref="I52:I57">F52*4+G52*9+H52*4</f>
        <v>85.84</v>
      </c>
      <c r="J52" s="137">
        <v>0.064</v>
      </c>
      <c r="K52" s="137">
        <v>0.064</v>
      </c>
      <c r="L52" s="140">
        <v>20.98</v>
      </c>
      <c r="M52" s="141">
        <v>0.076</v>
      </c>
      <c r="N52" s="140">
        <v>0.257</v>
      </c>
      <c r="O52" s="140">
        <v>49.59</v>
      </c>
      <c r="P52" s="140">
        <v>58.68</v>
      </c>
      <c r="Q52" s="140">
        <v>0.746</v>
      </c>
      <c r="R52" s="141">
        <v>0.011</v>
      </c>
      <c r="S52" s="140">
        <v>25.43</v>
      </c>
      <c r="T52" s="140">
        <v>1.32</v>
      </c>
      <c r="U52" s="152"/>
      <c r="V52" s="153"/>
      <c r="W52" s="153"/>
      <c r="X52" s="153"/>
    </row>
    <row r="53" spans="1:24" s="154" customFormat="1" ht="12.75" customHeight="1">
      <c r="A53" s="183">
        <v>293</v>
      </c>
      <c r="B53" s="208" t="s">
        <v>79</v>
      </c>
      <c r="C53" s="209"/>
      <c r="D53" s="139">
        <v>110</v>
      </c>
      <c r="E53" s="140">
        <v>44.04</v>
      </c>
      <c r="F53" s="140">
        <v>33.09</v>
      </c>
      <c r="G53" s="140">
        <v>27.34</v>
      </c>
      <c r="H53" s="140">
        <v>8.82</v>
      </c>
      <c r="I53" s="140">
        <v>414.37</v>
      </c>
      <c r="J53" s="140">
        <v>0.09</v>
      </c>
      <c r="K53" s="140">
        <v>0</v>
      </c>
      <c r="L53" s="140">
        <v>0.045</v>
      </c>
      <c r="M53" s="139">
        <v>80.62</v>
      </c>
      <c r="N53" s="137">
        <v>0</v>
      </c>
      <c r="O53" s="138">
        <v>102.19</v>
      </c>
      <c r="P53" s="140">
        <v>249.19</v>
      </c>
      <c r="Q53" s="139">
        <v>0</v>
      </c>
      <c r="R53" s="139">
        <v>0</v>
      </c>
      <c r="S53" s="140">
        <v>38.07</v>
      </c>
      <c r="T53" s="140">
        <v>3.04</v>
      </c>
      <c r="U53" s="152"/>
      <c r="V53" s="153"/>
      <c r="W53" s="153"/>
      <c r="X53" s="153"/>
    </row>
    <row r="54" spans="1:24" s="154" customFormat="1" ht="12.75" customHeight="1">
      <c r="A54" s="144">
        <v>171</v>
      </c>
      <c r="B54" s="208" t="s">
        <v>22</v>
      </c>
      <c r="C54" s="209"/>
      <c r="D54" s="139">
        <v>180</v>
      </c>
      <c r="E54" s="140">
        <v>14.6</v>
      </c>
      <c r="F54" s="140">
        <f>6.57*D54/150</f>
        <v>7.884000000000001</v>
      </c>
      <c r="G54" s="140">
        <f>4.19*D54/150</f>
        <v>5.0280000000000005</v>
      </c>
      <c r="H54" s="140">
        <f>32.32*D54/150</f>
        <v>38.784</v>
      </c>
      <c r="I54" s="140">
        <f>F54*4+G54*9+H54*4</f>
        <v>231.924</v>
      </c>
      <c r="J54" s="141">
        <f>0.06*D54/150</f>
        <v>0.072</v>
      </c>
      <c r="K54" s="141">
        <f>0.03*D54/150</f>
        <v>0.036</v>
      </c>
      <c r="L54" s="137">
        <v>0</v>
      </c>
      <c r="M54" s="141">
        <f>0.03*D54/150</f>
        <v>0.036</v>
      </c>
      <c r="N54" s="137">
        <f>2.55*D54/150</f>
        <v>3.0599999999999996</v>
      </c>
      <c r="O54" s="140">
        <f>18.12*D54/150</f>
        <v>21.744000000000003</v>
      </c>
      <c r="P54" s="140">
        <f>157.03*D54/150</f>
        <v>188.436</v>
      </c>
      <c r="Q54" s="141">
        <f>0.8874*D54/150</f>
        <v>1.06488</v>
      </c>
      <c r="R54" s="141">
        <f>0.00135*D54/150</f>
        <v>0.0016200000000000001</v>
      </c>
      <c r="S54" s="140">
        <f>104.45*D54/150</f>
        <v>125.34</v>
      </c>
      <c r="T54" s="140">
        <f>3.55*D54/150</f>
        <v>4.26</v>
      </c>
      <c r="U54" s="152"/>
      <c r="V54" s="153"/>
      <c r="W54" s="153"/>
      <c r="X54" s="153"/>
    </row>
    <row r="55" spans="1:20" s="158" customFormat="1" ht="14.25" customHeight="1">
      <c r="A55" s="90">
        <v>699</v>
      </c>
      <c r="B55" s="248" t="s">
        <v>88</v>
      </c>
      <c r="C55" s="249"/>
      <c r="D55" s="80">
        <v>200</v>
      </c>
      <c r="E55" s="81">
        <v>5.2</v>
      </c>
      <c r="F55" s="81">
        <v>0.1</v>
      </c>
      <c r="G55" s="82">
        <v>0</v>
      </c>
      <c r="H55" s="83">
        <v>15.7</v>
      </c>
      <c r="I55" s="81">
        <v>63.2</v>
      </c>
      <c r="J55" s="82">
        <v>0.018</v>
      </c>
      <c r="K55" s="82">
        <v>0.012</v>
      </c>
      <c r="L55" s="83">
        <v>8</v>
      </c>
      <c r="M55" s="82">
        <v>0</v>
      </c>
      <c r="N55" s="81">
        <v>0.2</v>
      </c>
      <c r="O55" s="81">
        <v>10.8</v>
      </c>
      <c r="P55" s="81">
        <v>1.7</v>
      </c>
      <c r="Q55" s="81">
        <v>0</v>
      </c>
      <c r="R55" s="84">
        <v>0</v>
      </c>
      <c r="S55" s="81">
        <v>5.8</v>
      </c>
      <c r="T55" s="81">
        <v>1.6</v>
      </c>
    </row>
    <row r="56" spans="1:24" s="154" customFormat="1" ht="11.25" customHeight="1">
      <c r="A56" s="52" t="s">
        <v>58</v>
      </c>
      <c r="B56" s="208" t="s">
        <v>42</v>
      </c>
      <c r="C56" s="209"/>
      <c r="D56" s="139">
        <v>40</v>
      </c>
      <c r="E56" s="140">
        <v>2.08</v>
      </c>
      <c r="F56" s="140">
        <f>2.64*D56/40</f>
        <v>2.64</v>
      </c>
      <c r="G56" s="140">
        <f>0.48*D56/40</f>
        <v>0.48</v>
      </c>
      <c r="H56" s="140">
        <f>13.68*D56/40</f>
        <v>13.680000000000001</v>
      </c>
      <c r="I56" s="140">
        <f t="shared" si="11"/>
        <v>69.60000000000001</v>
      </c>
      <c r="J56" s="137">
        <f>0.08*D56/40</f>
        <v>0.08</v>
      </c>
      <c r="K56" s="140">
        <f>0.04*D56/40</f>
        <v>0.04</v>
      </c>
      <c r="L56" s="139">
        <v>0</v>
      </c>
      <c r="M56" s="139">
        <v>0</v>
      </c>
      <c r="N56" s="140">
        <f>2.4*D56/40</f>
        <v>2.4</v>
      </c>
      <c r="O56" s="140">
        <f>14*D56/40</f>
        <v>14</v>
      </c>
      <c r="P56" s="140">
        <f>63.2*D56/40</f>
        <v>63.2</v>
      </c>
      <c r="Q56" s="140">
        <f>1.2*D56/40</f>
        <v>1.2</v>
      </c>
      <c r="R56" s="141">
        <f>0.001*D56/40</f>
        <v>0.001</v>
      </c>
      <c r="S56" s="140">
        <f>9.4*D56/40</f>
        <v>9.4</v>
      </c>
      <c r="T56" s="137">
        <f>0.78*D56/40</f>
        <v>0.78</v>
      </c>
      <c r="U56" s="160"/>
      <c r="V56" s="161"/>
      <c r="W56" s="161"/>
      <c r="X56" s="161"/>
    </row>
    <row r="57" spans="1:24" s="73" customFormat="1" ht="11.25" customHeight="1">
      <c r="A57" s="144" t="s">
        <v>58</v>
      </c>
      <c r="B57" s="208" t="s">
        <v>47</v>
      </c>
      <c r="C57" s="209"/>
      <c r="D57" s="139">
        <v>30</v>
      </c>
      <c r="E57" s="140">
        <v>2.52</v>
      </c>
      <c r="F57" s="140">
        <f>1.52*D57/30</f>
        <v>1.52</v>
      </c>
      <c r="G57" s="141">
        <f>0.16*D57/30</f>
        <v>0.16</v>
      </c>
      <c r="H57" s="141">
        <f>9.84*D57/30</f>
        <v>9.84</v>
      </c>
      <c r="I57" s="141">
        <f t="shared" si="11"/>
        <v>46.879999999999995</v>
      </c>
      <c r="J57" s="141">
        <f>0.02*D57/30</f>
        <v>0.02</v>
      </c>
      <c r="K57" s="141">
        <f>0.01*D57/30</f>
        <v>0.01</v>
      </c>
      <c r="L57" s="141">
        <f>0.44*D57/30</f>
        <v>0.44</v>
      </c>
      <c r="M57" s="141">
        <v>0</v>
      </c>
      <c r="N57" s="141">
        <f>0.7*D57/30</f>
        <v>0.7</v>
      </c>
      <c r="O57" s="141">
        <f>4*D57/30</f>
        <v>4</v>
      </c>
      <c r="P57" s="141">
        <f>13*D57/30</f>
        <v>13</v>
      </c>
      <c r="Q57" s="141">
        <f>0.008*D57/30</f>
        <v>0.008</v>
      </c>
      <c r="R57" s="141">
        <f>0.001*D57/30</f>
        <v>0.001</v>
      </c>
      <c r="S57" s="141">
        <v>0</v>
      </c>
      <c r="T57" s="141">
        <f>0.22*D57/30</f>
        <v>0.22</v>
      </c>
      <c r="U57" s="77"/>
      <c r="V57" s="78"/>
      <c r="W57" s="78"/>
      <c r="X57" s="78"/>
    </row>
    <row r="58" spans="1:24" s="73" customFormat="1" ht="11.25" customHeight="1">
      <c r="A58" s="133" t="s">
        <v>25</v>
      </c>
      <c r="B58" s="134"/>
      <c r="C58" s="134"/>
      <c r="D58" s="135">
        <f aca="true" t="shared" si="12" ref="D58:I58">SUM(D51:D57)</f>
        <v>910</v>
      </c>
      <c r="E58" s="150">
        <f t="shared" si="12"/>
        <v>93.99999999999999</v>
      </c>
      <c r="F58" s="127">
        <f t="shared" si="12"/>
        <v>49.22400000000001</v>
      </c>
      <c r="G58" s="126">
        <f t="shared" si="12"/>
        <v>48.15799999999999</v>
      </c>
      <c r="H58" s="126">
        <f t="shared" si="12"/>
        <v>107.61400000000002</v>
      </c>
      <c r="I58" s="126">
        <f t="shared" si="12"/>
        <v>1061.5140000000001</v>
      </c>
      <c r="J58" s="127">
        <f aca="true" t="shared" si="13" ref="J58:S58">SUM(J51:J57)</f>
        <v>0.3940000000000001</v>
      </c>
      <c r="K58" s="127">
        <f t="shared" si="13"/>
        <v>0.21200000000000002</v>
      </c>
      <c r="L58" s="126">
        <f t="shared" si="13"/>
        <v>50.125</v>
      </c>
      <c r="M58" s="127">
        <f t="shared" si="13"/>
        <v>80.73400000000001</v>
      </c>
      <c r="N58" s="32">
        <f t="shared" si="13"/>
        <v>9.116999999999999</v>
      </c>
      <c r="O58" s="126">
        <f t="shared" si="13"/>
        <v>235.15400000000002</v>
      </c>
      <c r="P58" s="127">
        <f t="shared" si="13"/>
        <v>608.0560000000002</v>
      </c>
      <c r="Q58" s="126">
        <f t="shared" si="13"/>
        <v>3.5188800000000002</v>
      </c>
      <c r="R58" s="128">
        <f t="shared" si="13"/>
        <v>0.01662</v>
      </c>
      <c r="S58" s="132">
        <f t="shared" si="13"/>
        <v>220.67000000000002</v>
      </c>
      <c r="T58" s="127">
        <f>SUM(T51:T57)</f>
        <v>11.78</v>
      </c>
      <c r="U58" s="29"/>
      <c r="V58" s="74"/>
      <c r="W58" s="74"/>
      <c r="X58" s="74"/>
    </row>
    <row r="59" spans="1:24" s="73" customFormat="1" ht="11.25" customHeight="1">
      <c r="A59" s="225" t="s">
        <v>55</v>
      </c>
      <c r="B59" s="226"/>
      <c r="C59" s="226"/>
      <c r="D59" s="227"/>
      <c r="E59" s="174"/>
      <c r="F59" s="148">
        <f aca="true" t="shared" si="14" ref="F59:T59">F58/F66</f>
        <v>0.5469333333333335</v>
      </c>
      <c r="G59" s="51">
        <f t="shared" si="14"/>
        <v>0.5234565217391303</v>
      </c>
      <c r="H59" s="51">
        <f t="shared" si="14"/>
        <v>0.2809765013054831</v>
      </c>
      <c r="I59" s="51">
        <f t="shared" si="14"/>
        <v>0.39026250000000007</v>
      </c>
      <c r="J59" s="51">
        <f t="shared" si="14"/>
        <v>0.2814285714285715</v>
      </c>
      <c r="K59" s="51">
        <f t="shared" si="14"/>
        <v>0.1325</v>
      </c>
      <c r="L59" s="51">
        <f t="shared" si="14"/>
        <v>0.7160714285714286</v>
      </c>
      <c r="M59" s="51">
        <f t="shared" si="14"/>
        <v>89.70444444444445</v>
      </c>
      <c r="N59" s="51">
        <f t="shared" si="14"/>
        <v>0.7597499999999999</v>
      </c>
      <c r="O59" s="130">
        <f t="shared" si="14"/>
        <v>0.1959616666666667</v>
      </c>
      <c r="P59" s="51">
        <f t="shared" si="14"/>
        <v>0.5067133333333335</v>
      </c>
      <c r="Q59" s="51">
        <f t="shared" si="14"/>
        <v>0.2513485714285714</v>
      </c>
      <c r="R59" s="51">
        <f t="shared" si="14"/>
        <v>0.1662</v>
      </c>
      <c r="S59" s="51">
        <f t="shared" si="14"/>
        <v>0.7355666666666667</v>
      </c>
      <c r="T59" s="130">
        <f t="shared" si="14"/>
        <v>0.6544444444444444</v>
      </c>
      <c r="U59" s="76"/>
      <c r="V59" s="74"/>
      <c r="W59" s="74"/>
      <c r="X59" s="74"/>
    </row>
    <row r="60" spans="1:24" s="73" customFormat="1" ht="11.25" customHeight="1">
      <c r="A60" s="245" t="s">
        <v>26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7"/>
      <c r="U60" s="9"/>
      <c r="V60" s="22"/>
      <c r="W60" s="22"/>
      <c r="X60" s="22"/>
    </row>
    <row r="61" spans="1:20" s="68" customFormat="1" ht="11.25" customHeight="1">
      <c r="A61" s="166"/>
      <c r="B61" s="223"/>
      <c r="C61" s="223"/>
      <c r="D61" s="163"/>
      <c r="E61" s="164"/>
      <c r="F61" s="164"/>
      <c r="G61" s="169"/>
      <c r="H61" s="169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</row>
    <row r="62" spans="1:20" s="68" customFormat="1" ht="12.75" customHeight="1">
      <c r="A62" s="87"/>
      <c r="B62" s="213"/>
      <c r="C62" s="213"/>
      <c r="D62" s="71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4" s="1" customFormat="1" ht="11.25" customHeight="1">
      <c r="A63" s="133" t="s">
        <v>27</v>
      </c>
      <c r="B63" s="134"/>
      <c r="C63" s="134"/>
      <c r="D63" s="135">
        <f aca="true" t="shared" si="15" ref="D63:I63">SUM(D61:D62)</f>
        <v>0</v>
      </c>
      <c r="E63" s="150">
        <f t="shared" si="15"/>
        <v>0</v>
      </c>
      <c r="F63" s="127">
        <f t="shared" si="15"/>
        <v>0</v>
      </c>
      <c r="G63" s="126">
        <f t="shared" si="15"/>
        <v>0</v>
      </c>
      <c r="H63" s="126">
        <f t="shared" si="15"/>
        <v>0</v>
      </c>
      <c r="I63" s="126">
        <f t="shared" si="15"/>
        <v>0</v>
      </c>
      <c r="J63" s="127">
        <f aca="true" t="shared" si="16" ref="J63:T63">SUM(J61:J62)</f>
        <v>0</v>
      </c>
      <c r="K63" s="127">
        <f t="shared" si="16"/>
        <v>0</v>
      </c>
      <c r="L63" s="126">
        <f t="shared" si="16"/>
        <v>0</v>
      </c>
      <c r="M63" s="127">
        <f t="shared" si="16"/>
        <v>0</v>
      </c>
      <c r="N63" s="126">
        <f t="shared" si="16"/>
        <v>0</v>
      </c>
      <c r="O63" s="126">
        <f t="shared" si="16"/>
        <v>0</v>
      </c>
      <c r="P63" s="126">
        <f t="shared" si="16"/>
        <v>0</v>
      </c>
      <c r="Q63" s="126">
        <f t="shared" si="16"/>
        <v>0</v>
      </c>
      <c r="R63" s="128">
        <f t="shared" si="16"/>
        <v>0</v>
      </c>
      <c r="S63" s="126">
        <f t="shared" si="16"/>
        <v>0</v>
      </c>
      <c r="T63" s="127">
        <f t="shared" si="16"/>
        <v>0</v>
      </c>
      <c r="U63" s="29"/>
      <c r="V63" s="74"/>
      <c r="W63" s="74"/>
      <c r="X63" s="74"/>
    </row>
    <row r="64" spans="1:24" s="1" customFormat="1" ht="11.25" customHeight="1">
      <c r="A64" s="225" t="s">
        <v>55</v>
      </c>
      <c r="B64" s="226"/>
      <c r="C64" s="226"/>
      <c r="D64" s="227"/>
      <c r="E64" s="175"/>
      <c r="F64" s="51">
        <f>F63/F66</f>
        <v>0</v>
      </c>
      <c r="G64" s="51">
        <f aca="true" t="shared" si="17" ref="G64:T64">G63/G66</f>
        <v>0</v>
      </c>
      <c r="H64" s="51">
        <f t="shared" si="17"/>
        <v>0</v>
      </c>
      <c r="I64" s="51">
        <f t="shared" si="17"/>
        <v>0</v>
      </c>
      <c r="J64" s="51">
        <f t="shared" si="17"/>
        <v>0</v>
      </c>
      <c r="K64" s="51">
        <f t="shared" si="17"/>
        <v>0</v>
      </c>
      <c r="L64" s="51">
        <f t="shared" si="17"/>
        <v>0</v>
      </c>
      <c r="M64" s="51">
        <f t="shared" si="17"/>
        <v>0</v>
      </c>
      <c r="N64" s="51">
        <f t="shared" si="17"/>
        <v>0</v>
      </c>
      <c r="O64" s="51">
        <f t="shared" si="17"/>
        <v>0</v>
      </c>
      <c r="P64" s="51">
        <f t="shared" si="17"/>
        <v>0</v>
      </c>
      <c r="Q64" s="51">
        <f t="shared" si="17"/>
        <v>0</v>
      </c>
      <c r="R64" s="51">
        <f t="shared" si="17"/>
        <v>0</v>
      </c>
      <c r="S64" s="51">
        <f t="shared" si="17"/>
        <v>0</v>
      </c>
      <c r="T64" s="130">
        <f t="shared" si="17"/>
        <v>0</v>
      </c>
      <c r="U64" s="76"/>
      <c r="V64" s="74"/>
      <c r="W64" s="74"/>
      <c r="X64" s="74"/>
    </row>
    <row r="65" spans="1:24" s="1" customFormat="1" ht="11.25" customHeight="1">
      <c r="A65" s="133" t="s">
        <v>54</v>
      </c>
      <c r="B65" s="134"/>
      <c r="C65" s="134"/>
      <c r="D65" s="61">
        <f>D58+D48</f>
        <v>1425</v>
      </c>
      <c r="E65" s="151">
        <f>E58+E48</f>
        <v>167</v>
      </c>
      <c r="F65" s="127">
        <f aca="true" t="shared" si="18" ref="F65:T65">SUM(F48,F58,F63)</f>
        <v>65.50900000000001</v>
      </c>
      <c r="G65" s="126">
        <f t="shared" si="18"/>
        <v>63.14799999999999</v>
      </c>
      <c r="H65" s="126">
        <f t="shared" si="18"/>
        <v>164.757</v>
      </c>
      <c r="I65" s="126">
        <f t="shared" si="18"/>
        <v>1562.3590000000002</v>
      </c>
      <c r="J65" s="127">
        <f t="shared" si="18"/>
        <v>0.6720000000000002</v>
      </c>
      <c r="K65" s="127">
        <f t="shared" si="18"/>
        <v>0.609</v>
      </c>
      <c r="L65" s="132">
        <f t="shared" si="18"/>
        <v>63.945</v>
      </c>
      <c r="M65" s="127">
        <f t="shared" si="18"/>
        <v>80.94200000000001</v>
      </c>
      <c r="N65" s="132">
        <f t="shared" si="18"/>
        <v>10.607</v>
      </c>
      <c r="O65" s="126">
        <f t="shared" si="18"/>
        <v>459.60400000000004</v>
      </c>
      <c r="P65" s="126">
        <f t="shared" si="18"/>
        <v>1002.5960000000001</v>
      </c>
      <c r="Q65" s="126">
        <f t="shared" si="18"/>
        <v>4.70488</v>
      </c>
      <c r="R65" s="128">
        <f t="shared" si="18"/>
        <v>2.2466199999999996</v>
      </c>
      <c r="S65" s="127">
        <f t="shared" si="18"/>
        <v>319.58000000000004</v>
      </c>
      <c r="T65" s="127">
        <f t="shared" si="18"/>
        <v>17.18</v>
      </c>
      <c r="U65" s="31"/>
      <c r="V65" s="74"/>
      <c r="W65" s="74"/>
      <c r="X65" s="74"/>
    </row>
    <row r="66" spans="1:24" s="1" customFormat="1" ht="11.25" customHeight="1">
      <c r="A66" s="201" t="s">
        <v>56</v>
      </c>
      <c r="B66" s="202"/>
      <c r="C66" s="202"/>
      <c r="D66" s="203"/>
      <c r="E66" s="180"/>
      <c r="F66" s="140">
        <v>90</v>
      </c>
      <c r="G66" s="138">
        <v>92</v>
      </c>
      <c r="H66" s="138">
        <v>383</v>
      </c>
      <c r="I66" s="138">
        <v>2720</v>
      </c>
      <c r="J66" s="140">
        <v>1.4</v>
      </c>
      <c r="K66" s="140">
        <v>1.6</v>
      </c>
      <c r="L66" s="139">
        <v>70</v>
      </c>
      <c r="M66" s="140">
        <v>0.9</v>
      </c>
      <c r="N66" s="139">
        <v>12</v>
      </c>
      <c r="O66" s="139">
        <v>1200</v>
      </c>
      <c r="P66" s="139">
        <v>1200</v>
      </c>
      <c r="Q66" s="139">
        <v>14</v>
      </c>
      <c r="R66" s="138">
        <v>0.1</v>
      </c>
      <c r="S66" s="139">
        <v>300</v>
      </c>
      <c r="T66" s="140">
        <v>18</v>
      </c>
      <c r="U66" s="77"/>
      <c r="V66" s="78"/>
      <c r="W66" s="78"/>
      <c r="X66" s="78"/>
    </row>
    <row r="67" spans="1:24" s="6" customFormat="1" ht="11.25" customHeight="1">
      <c r="A67" s="225" t="s">
        <v>55</v>
      </c>
      <c r="B67" s="226"/>
      <c r="C67" s="226"/>
      <c r="D67" s="227"/>
      <c r="E67" s="175"/>
      <c r="F67" s="51">
        <f aca="true" t="shared" si="19" ref="F67:T67">F65/F66</f>
        <v>0.727877777777778</v>
      </c>
      <c r="G67" s="130">
        <f t="shared" si="19"/>
        <v>0.6863913043478259</v>
      </c>
      <c r="H67" s="130">
        <f t="shared" si="19"/>
        <v>0.43017493472584856</v>
      </c>
      <c r="I67" s="130">
        <f t="shared" si="19"/>
        <v>0.5743966911764706</v>
      </c>
      <c r="J67" s="130">
        <f t="shared" si="19"/>
        <v>0.48000000000000015</v>
      </c>
      <c r="K67" s="130">
        <f t="shared" si="19"/>
        <v>0.380625</v>
      </c>
      <c r="L67" s="130">
        <f t="shared" si="19"/>
        <v>0.9135</v>
      </c>
      <c r="M67" s="33">
        <f t="shared" si="19"/>
        <v>89.93555555555557</v>
      </c>
      <c r="N67" s="130">
        <f t="shared" si="19"/>
        <v>0.8839166666666666</v>
      </c>
      <c r="O67" s="130">
        <f t="shared" si="19"/>
        <v>0.38300333333333336</v>
      </c>
      <c r="P67" s="130">
        <f t="shared" si="19"/>
        <v>0.8354966666666668</v>
      </c>
      <c r="Q67" s="130">
        <f t="shared" si="19"/>
        <v>0.33606285714285716</v>
      </c>
      <c r="R67" s="33">
        <f t="shared" si="19"/>
        <v>22.466199999999994</v>
      </c>
      <c r="S67" s="130">
        <f t="shared" si="19"/>
        <v>1.0652666666666668</v>
      </c>
      <c r="T67" s="33">
        <f t="shared" si="19"/>
        <v>0.9544444444444444</v>
      </c>
      <c r="U67" s="38"/>
      <c r="V67" s="39"/>
      <c r="W67" s="39"/>
      <c r="X67" s="39"/>
    </row>
    <row r="68" spans="1:24" s="1" customFormat="1" ht="11.25" customHeight="1">
      <c r="A68" s="41"/>
      <c r="B68" s="41"/>
      <c r="C68" s="181"/>
      <c r="D68" s="181"/>
      <c r="E68" s="181"/>
      <c r="F68" s="59"/>
      <c r="G68" s="121"/>
      <c r="H68" s="2"/>
      <c r="I68" s="2"/>
      <c r="J68" s="121"/>
      <c r="K68" s="121"/>
      <c r="L68" s="121"/>
      <c r="M68" s="220" t="s">
        <v>57</v>
      </c>
      <c r="N68" s="220"/>
      <c r="O68" s="220"/>
      <c r="P68" s="220"/>
      <c r="Q68" s="220"/>
      <c r="R68" s="220"/>
      <c r="S68" s="220"/>
      <c r="T68" s="220"/>
      <c r="U68" s="10"/>
      <c r="V68" s="17"/>
      <c r="W68" s="17"/>
      <c r="X68" s="17"/>
    </row>
    <row r="69" spans="1:24" s="1" customFormat="1" ht="11.25" customHeight="1">
      <c r="A69" s="41"/>
      <c r="B69" s="41"/>
      <c r="C69" s="181"/>
      <c r="D69" s="181"/>
      <c r="E69" s="181"/>
      <c r="F69" s="59"/>
      <c r="G69" s="121"/>
      <c r="H69" s="2"/>
      <c r="I69" s="2"/>
      <c r="J69" s="121"/>
      <c r="K69" s="121"/>
      <c r="L69" s="121"/>
      <c r="M69" s="184"/>
      <c r="N69" s="184"/>
      <c r="O69" s="184"/>
      <c r="P69" s="184"/>
      <c r="Q69" s="184"/>
      <c r="R69" s="184"/>
      <c r="S69" s="184"/>
      <c r="T69" s="184"/>
      <c r="U69" s="10"/>
      <c r="V69" s="17"/>
      <c r="W69" s="17"/>
      <c r="X69" s="17"/>
    </row>
    <row r="70" spans="1:24" s="1" customFormat="1" ht="11.25" customHeight="1">
      <c r="A70" s="222" t="s">
        <v>30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11"/>
      <c r="V70" s="23"/>
      <c r="W70" s="23"/>
      <c r="X70" s="23"/>
    </row>
    <row r="71" spans="1:24" s="1" customFormat="1" ht="11.25" customHeight="1">
      <c r="A71" s="43" t="s">
        <v>49</v>
      </c>
      <c r="B71" s="41"/>
      <c r="C71" s="41"/>
      <c r="D71" s="2"/>
      <c r="E71" s="2"/>
      <c r="F71" s="119"/>
      <c r="G71" s="196" t="s">
        <v>31</v>
      </c>
      <c r="H71" s="196"/>
      <c r="I71" s="196"/>
      <c r="J71" s="121"/>
      <c r="K71" s="121"/>
      <c r="L71" s="215" t="s">
        <v>1</v>
      </c>
      <c r="M71" s="215"/>
      <c r="N71" s="214" t="str">
        <f>N38</f>
        <v>весенне-летний</v>
      </c>
      <c r="O71" s="214"/>
      <c r="P71" s="214"/>
      <c r="Q71" s="214"/>
      <c r="R71" s="121"/>
      <c r="S71" s="121"/>
      <c r="T71" s="121"/>
      <c r="U71" s="12"/>
      <c r="V71" s="18"/>
      <c r="W71" s="18"/>
      <c r="X71" s="18"/>
    </row>
    <row r="72" spans="1:24" s="1" customFormat="1" ht="11.25" customHeight="1">
      <c r="A72" s="41"/>
      <c r="B72" s="41"/>
      <c r="C72" s="41"/>
      <c r="D72" s="229" t="s">
        <v>2</v>
      </c>
      <c r="E72" s="229"/>
      <c r="F72" s="229"/>
      <c r="G72" s="5">
        <v>1</v>
      </c>
      <c r="H72" s="121"/>
      <c r="I72" s="2"/>
      <c r="J72" s="2"/>
      <c r="K72" s="2"/>
      <c r="L72" s="229" t="s">
        <v>3</v>
      </c>
      <c r="M72" s="229"/>
      <c r="N72" s="196" t="str">
        <f>N39</f>
        <v>с 7-11 лет;12 и старше</v>
      </c>
      <c r="O72" s="196"/>
      <c r="P72" s="196"/>
      <c r="Q72" s="196"/>
      <c r="R72" s="196"/>
      <c r="S72" s="196"/>
      <c r="T72" s="196"/>
      <c r="U72" s="13"/>
      <c r="V72" s="19"/>
      <c r="W72" s="19"/>
      <c r="X72" s="19"/>
    </row>
    <row r="73" spans="1:24" s="1" customFormat="1" ht="21.75" customHeight="1">
      <c r="A73" s="216" t="s">
        <v>4</v>
      </c>
      <c r="B73" s="216" t="s">
        <v>5</v>
      </c>
      <c r="C73" s="216"/>
      <c r="D73" s="216" t="s">
        <v>6</v>
      </c>
      <c r="E73" s="176"/>
      <c r="F73" s="250" t="s">
        <v>7</v>
      </c>
      <c r="G73" s="250"/>
      <c r="H73" s="250"/>
      <c r="I73" s="216" t="s">
        <v>8</v>
      </c>
      <c r="J73" s="250" t="s">
        <v>9</v>
      </c>
      <c r="K73" s="250"/>
      <c r="L73" s="250"/>
      <c r="M73" s="250"/>
      <c r="N73" s="250"/>
      <c r="O73" s="250" t="s">
        <v>10</v>
      </c>
      <c r="P73" s="250"/>
      <c r="Q73" s="250"/>
      <c r="R73" s="250"/>
      <c r="S73" s="250"/>
      <c r="T73" s="250"/>
      <c r="U73" s="7"/>
      <c r="V73" s="20"/>
      <c r="W73" s="20"/>
      <c r="X73" s="20"/>
    </row>
    <row r="74" spans="1:24" s="1" customFormat="1" ht="21" customHeight="1">
      <c r="A74" s="217"/>
      <c r="B74" s="199"/>
      <c r="C74" s="200"/>
      <c r="D74" s="217"/>
      <c r="E74" s="177"/>
      <c r="F74" s="57" t="s">
        <v>11</v>
      </c>
      <c r="G74" s="182" t="s">
        <v>12</v>
      </c>
      <c r="H74" s="182" t="s">
        <v>13</v>
      </c>
      <c r="I74" s="217"/>
      <c r="J74" s="182" t="s">
        <v>14</v>
      </c>
      <c r="K74" s="182" t="s">
        <v>50</v>
      </c>
      <c r="L74" s="182" t="s">
        <v>15</v>
      </c>
      <c r="M74" s="182" t="s">
        <v>16</v>
      </c>
      <c r="N74" s="182" t="s">
        <v>17</v>
      </c>
      <c r="O74" s="182" t="s">
        <v>18</v>
      </c>
      <c r="P74" s="182" t="s">
        <v>19</v>
      </c>
      <c r="Q74" s="182" t="s">
        <v>51</v>
      </c>
      <c r="R74" s="182" t="s">
        <v>52</v>
      </c>
      <c r="S74" s="182" t="s">
        <v>20</v>
      </c>
      <c r="T74" s="182" t="s">
        <v>21</v>
      </c>
      <c r="U74" s="7"/>
      <c r="V74" s="20"/>
      <c r="W74" s="20"/>
      <c r="X74" s="20"/>
    </row>
    <row r="75" spans="1:24" s="1" customFormat="1" ht="11.25" customHeight="1">
      <c r="A75" s="183">
        <v>1</v>
      </c>
      <c r="B75" s="251">
        <v>2</v>
      </c>
      <c r="C75" s="251"/>
      <c r="D75" s="28">
        <v>3</v>
      </c>
      <c r="E75" s="28"/>
      <c r="F75" s="5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8">
        <v>10</v>
      </c>
      <c r="M75" s="28">
        <v>11</v>
      </c>
      <c r="N75" s="28">
        <v>12</v>
      </c>
      <c r="O75" s="28">
        <v>13</v>
      </c>
      <c r="P75" s="28">
        <v>14</v>
      </c>
      <c r="Q75" s="28">
        <v>15</v>
      </c>
      <c r="R75" s="28">
        <v>16</v>
      </c>
      <c r="S75" s="28">
        <v>17</v>
      </c>
      <c r="T75" s="28">
        <v>18</v>
      </c>
      <c r="U75" s="8"/>
      <c r="V75" s="21"/>
      <c r="W75" s="21"/>
      <c r="X75" s="21"/>
    </row>
    <row r="76" spans="1:24" s="1" customFormat="1" ht="11.25" customHeight="1">
      <c r="A76" s="245" t="s">
        <v>93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7"/>
      <c r="U76" s="9"/>
      <c r="V76" s="22"/>
      <c r="W76" s="22"/>
      <c r="X76" s="22"/>
    </row>
    <row r="77" spans="1:24" s="112" customFormat="1" ht="20.25" customHeight="1">
      <c r="A77" s="136">
        <v>71</v>
      </c>
      <c r="B77" s="208" t="s">
        <v>89</v>
      </c>
      <c r="C77" s="209"/>
      <c r="D77" s="145">
        <v>66</v>
      </c>
      <c r="E77" s="145">
        <v>16.63</v>
      </c>
      <c r="F77" s="173">
        <f>0.5*D77/60</f>
        <v>0.55</v>
      </c>
      <c r="G77" s="173">
        <f>0.03*D77/30</f>
        <v>0.066</v>
      </c>
      <c r="H77" s="173">
        <f>1.7*D77/60</f>
        <v>1.87</v>
      </c>
      <c r="I77" s="173">
        <f>F77*4+G77*9+H77*4</f>
        <v>10.274000000000001</v>
      </c>
      <c r="J77" s="146">
        <v>0.009</v>
      </c>
      <c r="K77" s="173">
        <v>0.01</v>
      </c>
      <c r="L77" s="147">
        <v>3</v>
      </c>
      <c r="M77" s="146">
        <v>0.003</v>
      </c>
      <c r="N77" s="145">
        <v>0.03</v>
      </c>
      <c r="O77" s="173">
        <v>6.9</v>
      </c>
      <c r="P77" s="173">
        <v>12.6</v>
      </c>
      <c r="Q77" s="146">
        <v>0.064</v>
      </c>
      <c r="R77" s="146">
        <v>0.001</v>
      </c>
      <c r="S77" s="173">
        <v>4.2</v>
      </c>
      <c r="T77" s="173">
        <v>0.18</v>
      </c>
      <c r="U77" s="115"/>
      <c r="V77" s="116"/>
      <c r="W77" s="116"/>
      <c r="X77" s="116"/>
    </row>
    <row r="78" spans="1:24" s="112" customFormat="1" ht="12" customHeight="1">
      <c r="A78" s="183">
        <v>291</v>
      </c>
      <c r="B78" s="208" t="s">
        <v>45</v>
      </c>
      <c r="C78" s="209"/>
      <c r="D78" s="139">
        <v>240</v>
      </c>
      <c r="E78" s="140">
        <v>50.04</v>
      </c>
      <c r="F78" s="140">
        <v>22.35</v>
      </c>
      <c r="G78" s="140">
        <v>26.13</v>
      </c>
      <c r="H78" s="140">
        <v>47.23</v>
      </c>
      <c r="I78" s="140">
        <v>513.57</v>
      </c>
      <c r="J78" s="140">
        <v>0.81</v>
      </c>
      <c r="K78" s="140">
        <v>0.79</v>
      </c>
      <c r="L78" s="140">
        <v>4.29</v>
      </c>
      <c r="M78" s="140">
        <v>0.46</v>
      </c>
      <c r="N78" s="137">
        <v>0</v>
      </c>
      <c r="O78" s="140">
        <v>44.29</v>
      </c>
      <c r="P78" s="140">
        <v>301.65</v>
      </c>
      <c r="Q78" s="139">
        <v>0</v>
      </c>
      <c r="R78" s="139">
        <v>0</v>
      </c>
      <c r="S78" s="140">
        <v>64.39</v>
      </c>
      <c r="T78" s="140">
        <v>2.77</v>
      </c>
      <c r="U78" s="117"/>
      <c r="V78" s="118"/>
      <c r="W78" s="118"/>
      <c r="X78" s="118"/>
    </row>
    <row r="79" spans="1:24" s="112" customFormat="1" ht="12.75" customHeight="1">
      <c r="A79" s="183">
        <v>377</v>
      </c>
      <c r="B79" s="212" t="s">
        <v>41</v>
      </c>
      <c r="C79" s="212"/>
      <c r="D79" s="139">
        <v>200</v>
      </c>
      <c r="E79" s="140">
        <v>3.81</v>
      </c>
      <c r="F79" s="140">
        <v>0.26</v>
      </c>
      <c r="G79" s="140">
        <v>0.06</v>
      </c>
      <c r="H79" s="140">
        <v>15.22</v>
      </c>
      <c r="I79" s="140">
        <f>F79*4+G79*9+H79*4</f>
        <v>62.46</v>
      </c>
      <c r="J79" s="140"/>
      <c r="K79" s="140">
        <v>0.01</v>
      </c>
      <c r="L79" s="140">
        <v>2.9</v>
      </c>
      <c r="M79" s="137">
        <v>0</v>
      </c>
      <c r="N79" s="140">
        <v>0.06</v>
      </c>
      <c r="O79" s="140">
        <v>8.05</v>
      </c>
      <c r="P79" s="140">
        <v>9.78</v>
      </c>
      <c r="Q79" s="140">
        <v>0.017</v>
      </c>
      <c r="R79" s="141">
        <v>0</v>
      </c>
      <c r="S79" s="140">
        <v>5.24</v>
      </c>
      <c r="T79" s="140">
        <v>0.87</v>
      </c>
      <c r="U79" s="117"/>
      <c r="V79" s="228"/>
      <c r="W79" s="228"/>
      <c r="X79" s="228"/>
    </row>
    <row r="80" spans="1:24" s="112" customFormat="1" ht="12.75" customHeight="1">
      <c r="A80" s="144" t="s">
        <v>58</v>
      </c>
      <c r="B80" s="208" t="s">
        <v>47</v>
      </c>
      <c r="C80" s="209"/>
      <c r="D80" s="139">
        <v>30</v>
      </c>
      <c r="E80" s="140">
        <v>2.52</v>
      </c>
      <c r="F80" s="140">
        <f>1.52*D80/30</f>
        <v>1.52</v>
      </c>
      <c r="G80" s="141">
        <f>0.16*D80/30</f>
        <v>0.16</v>
      </c>
      <c r="H80" s="141">
        <f>9.84*D80/30</f>
        <v>9.84</v>
      </c>
      <c r="I80" s="141">
        <f>F80*4+G80*9+H80*4</f>
        <v>46.879999999999995</v>
      </c>
      <c r="J80" s="141">
        <f>0.02*D80/30</f>
        <v>0.02</v>
      </c>
      <c r="K80" s="141">
        <f>0.01*D80/30</f>
        <v>0.01</v>
      </c>
      <c r="L80" s="141">
        <f>0.44*D80/30</f>
        <v>0.44</v>
      </c>
      <c r="M80" s="141">
        <v>0</v>
      </c>
      <c r="N80" s="141">
        <f>0.7*D80/30</f>
        <v>0.7</v>
      </c>
      <c r="O80" s="141">
        <f>4*D80/30</f>
        <v>4</v>
      </c>
      <c r="P80" s="141">
        <f>13*D80/30</f>
        <v>13</v>
      </c>
      <c r="Q80" s="141">
        <f>0.008*D80/30</f>
        <v>0.008</v>
      </c>
      <c r="R80" s="141">
        <f>0.001*D80/30</f>
        <v>0.001</v>
      </c>
      <c r="S80" s="141">
        <v>0</v>
      </c>
      <c r="T80" s="141">
        <f>0.22*D80/30</f>
        <v>0.22</v>
      </c>
      <c r="U80" s="117"/>
      <c r="V80" s="228"/>
      <c r="W80" s="228"/>
      <c r="X80" s="228"/>
    </row>
    <row r="81" spans="1:24" s="73" customFormat="1" ht="12" customHeight="1">
      <c r="A81" s="133" t="s">
        <v>95</v>
      </c>
      <c r="B81" s="134"/>
      <c r="C81" s="134"/>
      <c r="D81" s="45">
        <f aca="true" t="shared" si="20" ref="D81:T81">SUM(D77:D80)</f>
        <v>536</v>
      </c>
      <c r="E81" s="150">
        <f t="shared" si="20"/>
        <v>73</v>
      </c>
      <c r="F81" s="127">
        <f t="shared" si="20"/>
        <v>24.680000000000003</v>
      </c>
      <c r="G81" s="126">
        <f t="shared" si="20"/>
        <v>26.415999999999997</v>
      </c>
      <c r="H81" s="126">
        <f t="shared" si="20"/>
        <v>74.16</v>
      </c>
      <c r="I81" s="126">
        <f t="shared" si="20"/>
        <v>633.1840000000001</v>
      </c>
      <c r="J81" s="127">
        <f t="shared" si="20"/>
        <v>0.8390000000000001</v>
      </c>
      <c r="K81" s="127">
        <f t="shared" si="20"/>
        <v>0.8200000000000001</v>
      </c>
      <c r="L81" s="127">
        <f t="shared" si="20"/>
        <v>10.629999999999999</v>
      </c>
      <c r="M81" s="127">
        <f t="shared" si="20"/>
        <v>0.463</v>
      </c>
      <c r="N81" s="127">
        <f t="shared" si="20"/>
        <v>0.7899999999999999</v>
      </c>
      <c r="O81" s="127">
        <f t="shared" si="20"/>
        <v>63.239999999999995</v>
      </c>
      <c r="P81" s="127">
        <f t="shared" si="20"/>
        <v>337.03</v>
      </c>
      <c r="Q81" s="128">
        <f t="shared" si="20"/>
        <v>0.089</v>
      </c>
      <c r="R81" s="128">
        <f t="shared" si="20"/>
        <v>0.002</v>
      </c>
      <c r="S81" s="126">
        <f t="shared" si="20"/>
        <v>73.83</v>
      </c>
      <c r="T81" s="127">
        <f t="shared" si="20"/>
        <v>4.04</v>
      </c>
      <c r="U81" s="29"/>
      <c r="V81" s="75"/>
      <c r="W81" s="75"/>
      <c r="X81" s="75"/>
    </row>
    <row r="82" spans="1:24" s="73" customFormat="1" ht="12" customHeight="1">
      <c r="A82" s="201" t="s">
        <v>55</v>
      </c>
      <c r="B82" s="202"/>
      <c r="C82" s="202"/>
      <c r="D82" s="203"/>
      <c r="E82" s="66"/>
      <c r="F82" s="92">
        <f aca="true" t="shared" si="21" ref="F82:T82">F81/F100</f>
        <v>0.27422222222222226</v>
      </c>
      <c r="G82" s="64">
        <f t="shared" si="21"/>
        <v>0.28713043478260863</v>
      </c>
      <c r="H82" s="64">
        <f t="shared" si="21"/>
        <v>0.19362924281984334</v>
      </c>
      <c r="I82" s="64">
        <f t="shared" si="21"/>
        <v>0.23278823529411768</v>
      </c>
      <c r="J82" s="64">
        <f t="shared" si="21"/>
        <v>0.5992857142857144</v>
      </c>
      <c r="K82" s="64">
        <f t="shared" si="21"/>
        <v>0.5125</v>
      </c>
      <c r="L82" s="64">
        <f t="shared" si="21"/>
        <v>0.15185714285714283</v>
      </c>
      <c r="M82" s="64">
        <f t="shared" si="21"/>
        <v>0.5144444444444445</v>
      </c>
      <c r="N82" s="64">
        <f t="shared" si="21"/>
        <v>0.06583333333333333</v>
      </c>
      <c r="O82" s="64">
        <f t="shared" si="21"/>
        <v>0.0527</v>
      </c>
      <c r="P82" s="64">
        <f t="shared" si="21"/>
        <v>0.2808583333333333</v>
      </c>
      <c r="Q82" s="64">
        <f t="shared" si="21"/>
        <v>0.006357142857142857</v>
      </c>
      <c r="R82" s="64">
        <f t="shared" si="21"/>
        <v>0.02</v>
      </c>
      <c r="S82" s="64">
        <f t="shared" si="21"/>
        <v>0.24609999999999999</v>
      </c>
      <c r="T82" s="64">
        <f t="shared" si="21"/>
        <v>0.22444444444444445</v>
      </c>
      <c r="U82" s="76"/>
      <c r="V82" s="75"/>
      <c r="W82" s="75"/>
      <c r="X82" s="75"/>
    </row>
    <row r="83" spans="1:24" s="73" customFormat="1" ht="12" customHeight="1" hidden="1">
      <c r="A83" s="96" t="s">
        <v>63</v>
      </c>
      <c r="B83" s="91"/>
      <c r="C83" s="91"/>
      <c r="D83" s="179"/>
      <c r="E83" s="179"/>
      <c r="F83" s="98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76"/>
      <c r="V83" s="75"/>
      <c r="W83" s="75"/>
      <c r="X83" s="75"/>
    </row>
    <row r="84" spans="1:24" s="73" customFormat="1" ht="10.5" customHeight="1">
      <c r="A84" s="245" t="s">
        <v>24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7"/>
      <c r="U84" s="9"/>
      <c r="V84" s="22"/>
      <c r="W84" s="22"/>
      <c r="X84" s="22"/>
    </row>
    <row r="85" spans="1:24" s="154" customFormat="1" ht="20.25" customHeight="1">
      <c r="A85" s="189" t="s">
        <v>109</v>
      </c>
      <c r="B85" s="208" t="s">
        <v>108</v>
      </c>
      <c r="C85" s="209"/>
      <c r="D85" s="139">
        <v>100</v>
      </c>
      <c r="E85" s="140">
        <v>10.03</v>
      </c>
      <c r="F85" s="140">
        <v>1.5</v>
      </c>
      <c r="G85" s="140">
        <v>2.183333333333333</v>
      </c>
      <c r="H85" s="140">
        <v>9.333333333333334</v>
      </c>
      <c r="I85" s="140">
        <v>62.983333333333334</v>
      </c>
      <c r="J85" s="140">
        <v>0.1</v>
      </c>
      <c r="K85" s="140">
        <v>0.11666666666666668</v>
      </c>
      <c r="L85" s="140">
        <v>25.833333333333332</v>
      </c>
      <c r="M85" s="141">
        <v>0.11833333333333333</v>
      </c>
      <c r="N85" s="140">
        <v>0.5</v>
      </c>
      <c r="O85" s="140">
        <v>47</v>
      </c>
      <c r="P85" s="140">
        <v>31.499999999999996</v>
      </c>
      <c r="Q85" s="140">
        <v>0.3333333333333333</v>
      </c>
      <c r="R85" s="141">
        <v>0.0016666666666666668</v>
      </c>
      <c r="S85" s="140">
        <v>17.5</v>
      </c>
      <c r="T85" s="140">
        <v>1</v>
      </c>
      <c r="U85" s="152"/>
      <c r="V85" s="153"/>
      <c r="W85" s="153"/>
      <c r="X85" s="153"/>
    </row>
    <row r="86" spans="1:25" s="73" customFormat="1" ht="22.5" customHeight="1">
      <c r="A86" s="144">
        <v>108</v>
      </c>
      <c r="B86" s="208" t="s">
        <v>80</v>
      </c>
      <c r="C86" s="209"/>
      <c r="D86" s="137">
        <v>250</v>
      </c>
      <c r="E86" s="140">
        <v>12.04</v>
      </c>
      <c r="F86" s="140">
        <v>3.15</v>
      </c>
      <c r="G86" s="141">
        <v>3.55</v>
      </c>
      <c r="H86" s="141">
        <v>20.8375</v>
      </c>
      <c r="I86" s="140">
        <v>127.89999999999999</v>
      </c>
      <c r="J86" s="141">
        <v>0.0875</v>
      </c>
      <c r="K86" s="141">
        <v>0.075</v>
      </c>
      <c r="L86" s="141">
        <v>11.3125</v>
      </c>
      <c r="M86" s="141">
        <v>0.59</v>
      </c>
      <c r="N86" s="141">
        <v>0.875</v>
      </c>
      <c r="O86" s="141">
        <v>25.7375</v>
      </c>
      <c r="P86" s="141">
        <v>60.2375</v>
      </c>
      <c r="Q86" s="141">
        <v>0.25</v>
      </c>
      <c r="R86" s="141">
        <v>0.00125</v>
      </c>
      <c r="S86" s="141">
        <v>18.2</v>
      </c>
      <c r="T86" s="141">
        <v>0.925</v>
      </c>
      <c r="U86" s="94"/>
      <c r="V86" s="95"/>
      <c r="W86" s="95"/>
      <c r="X86" s="95"/>
      <c r="Y86" s="93"/>
    </row>
    <row r="87" spans="1:24" s="154" customFormat="1" ht="24.75" customHeight="1">
      <c r="A87" s="136">
        <v>268</v>
      </c>
      <c r="B87" s="208" t="s">
        <v>117</v>
      </c>
      <c r="C87" s="209"/>
      <c r="D87" s="145">
        <v>100</v>
      </c>
      <c r="E87" s="145">
        <v>53.01</v>
      </c>
      <c r="F87" s="173">
        <v>18.5</v>
      </c>
      <c r="G87" s="173">
        <v>25.8625</v>
      </c>
      <c r="H87" s="173">
        <v>4.7625</v>
      </c>
      <c r="I87" s="173">
        <v>325.81250000000006</v>
      </c>
      <c r="J87" s="146">
        <v>0.225</v>
      </c>
      <c r="K87" s="173">
        <v>0.15</v>
      </c>
      <c r="L87" s="173">
        <v>0.5375</v>
      </c>
      <c r="M87" s="146">
        <v>0.099</v>
      </c>
      <c r="N87" s="146">
        <v>0.0125</v>
      </c>
      <c r="O87" s="173">
        <v>60.5625</v>
      </c>
      <c r="P87" s="173">
        <v>222.375</v>
      </c>
      <c r="Q87" s="146">
        <v>2.8499999999999996</v>
      </c>
      <c r="R87" s="146">
        <v>0.05</v>
      </c>
      <c r="S87" s="173">
        <v>30.5625</v>
      </c>
      <c r="T87" s="173">
        <v>2.4125</v>
      </c>
      <c r="U87" s="156"/>
      <c r="V87" s="157"/>
      <c r="W87" s="157"/>
      <c r="X87" s="157"/>
    </row>
    <row r="88" spans="1:24" s="121" customFormat="1" ht="12" customHeight="1">
      <c r="A88" s="192">
        <v>171</v>
      </c>
      <c r="B88" s="208" t="s">
        <v>94</v>
      </c>
      <c r="C88" s="209"/>
      <c r="D88" s="139">
        <v>180</v>
      </c>
      <c r="E88" s="140">
        <v>8.71</v>
      </c>
      <c r="F88" s="140">
        <v>6.57</v>
      </c>
      <c r="G88" s="140">
        <v>4.19</v>
      </c>
      <c r="H88" s="140">
        <v>32.32</v>
      </c>
      <c r="I88" s="140">
        <v>193.27</v>
      </c>
      <c r="J88" s="140">
        <v>0.06</v>
      </c>
      <c r="K88" s="140">
        <v>0.03</v>
      </c>
      <c r="L88" s="140">
        <v>0</v>
      </c>
      <c r="M88" s="141">
        <v>0.03</v>
      </c>
      <c r="N88" s="140">
        <v>2.55</v>
      </c>
      <c r="O88" s="140">
        <v>18.12</v>
      </c>
      <c r="P88" s="140">
        <v>157.03</v>
      </c>
      <c r="Q88" s="140">
        <v>0.89</v>
      </c>
      <c r="R88" s="141">
        <v>0.001</v>
      </c>
      <c r="S88" s="140">
        <v>104.45</v>
      </c>
      <c r="T88" s="140">
        <v>3.55</v>
      </c>
      <c r="U88" s="142"/>
      <c r="V88" s="143"/>
      <c r="W88" s="143"/>
      <c r="X88" s="143"/>
    </row>
    <row r="89" spans="1:24" s="154" customFormat="1" ht="12" customHeight="1">
      <c r="A89" s="144">
        <v>349</v>
      </c>
      <c r="B89" s="208" t="s">
        <v>73</v>
      </c>
      <c r="C89" s="209"/>
      <c r="D89" s="139">
        <v>200</v>
      </c>
      <c r="E89" s="140">
        <v>5.61</v>
      </c>
      <c r="F89" s="140">
        <v>0.22</v>
      </c>
      <c r="G89" s="137">
        <v>0</v>
      </c>
      <c r="H89" s="140">
        <v>24.42</v>
      </c>
      <c r="I89" s="140">
        <v>98.56</v>
      </c>
      <c r="J89" s="137">
        <v>0</v>
      </c>
      <c r="K89" s="137">
        <v>0</v>
      </c>
      <c r="L89" s="140">
        <v>26.11</v>
      </c>
      <c r="M89" s="137">
        <v>0</v>
      </c>
      <c r="N89" s="137">
        <v>0</v>
      </c>
      <c r="O89" s="138">
        <v>22.6</v>
      </c>
      <c r="P89" s="138">
        <v>7.7</v>
      </c>
      <c r="Q89" s="139">
        <v>0</v>
      </c>
      <c r="R89" s="139">
        <v>0</v>
      </c>
      <c r="S89" s="138">
        <v>3</v>
      </c>
      <c r="T89" s="140">
        <v>0.66</v>
      </c>
      <c r="U89" s="152"/>
      <c r="V89" s="153"/>
      <c r="W89" s="153"/>
      <c r="X89" s="153"/>
    </row>
    <row r="90" spans="1:24" s="154" customFormat="1" ht="11.25" customHeight="1">
      <c r="A90" s="52" t="s">
        <v>58</v>
      </c>
      <c r="B90" s="208" t="s">
        <v>42</v>
      </c>
      <c r="C90" s="209"/>
      <c r="D90" s="139">
        <v>40</v>
      </c>
      <c r="E90" s="140">
        <v>2.08</v>
      </c>
      <c r="F90" s="140">
        <f>2.64*D90/40</f>
        <v>2.64</v>
      </c>
      <c r="G90" s="140">
        <f>0.48*D90/40</f>
        <v>0.48</v>
      </c>
      <c r="H90" s="140">
        <f>13.68*D90/40</f>
        <v>13.680000000000001</v>
      </c>
      <c r="I90" s="138">
        <f>F90*4+G90*9+H90*4</f>
        <v>69.60000000000001</v>
      </c>
      <c r="J90" s="137">
        <f>0.08*D90/40</f>
        <v>0.08</v>
      </c>
      <c r="K90" s="140">
        <f>0.04*D90/40</f>
        <v>0.04</v>
      </c>
      <c r="L90" s="139">
        <v>0</v>
      </c>
      <c r="M90" s="139">
        <v>0</v>
      </c>
      <c r="N90" s="140">
        <f>2.4*D90/40</f>
        <v>2.4</v>
      </c>
      <c r="O90" s="140">
        <f>14*D90/40</f>
        <v>14</v>
      </c>
      <c r="P90" s="140">
        <f>63.2*D90/40</f>
        <v>63.2</v>
      </c>
      <c r="Q90" s="140">
        <f>1.2*D90/40</f>
        <v>1.2</v>
      </c>
      <c r="R90" s="141">
        <f>0.001*D90/40</f>
        <v>0.001</v>
      </c>
      <c r="S90" s="140">
        <f>9.4*D90/40</f>
        <v>9.4</v>
      </c>
      <c r="T90" s="137">
        <f>0.78*D90/40</f>
        <v>0.78</v>
      </c>
      <c r="U90" s="160"/>
      <c r="V90" s="161"/>
      <c r="W90" s="161"/>
      <c r="X90" s="161"/>
    </row>
    <row r="91" spans="1:24" s="73" customFormat="1" ht="11.25" customHeight="1">
      <c r="A91" s="144" t="s">
        <v>58</v>
      </c>
      <c r="B91" s="208" t="s">
        <v>47</v>
      </c>
      <c r="C91" s="209"/>
      <c r="D91" s="139">
        <v>30</v>
      </c>
      <c r="E91" s="140">
        <v>2.52</v>
      </c>
      <c r="F91" s="140">
        <f>1.52*D91/30</f>
        <v>1.52</v>
      </c>
      <c r="G91" s="141">
        <f>0.16*D91/30</f>
        <v>0.16</v>
      </c>
      <c r="H91" s="141">
        <f>9.84*D91/30</f>
        <v>9.84</v>
      </c>
      <c r="I91" s="141">
        <f>F91*4+G91*9+H91*4</f>
        <v>46.879999999999995</v>
      </c>
      <c r="J91" s="141">
        <f>0.02*D91/30</f>
        <v>0.02</v>
      </c>
      <c r="K91" s="141">
        <f>0.01*D91/30</f>
        <v>0.01</v>
      </c>
      <c r="L91" s="141">
        <f>0.44*D91/30</f>
        <v>0.44</v>
      </c>
      <c r="M91" s="141">
        <v>0</v>
      </c>
      <c r="N91" s="141">
        <f>0.7*D91/30</f>
        <v>0.7</v>
      </c>
      <c r="O91" s="141">
        <f>4*D91/30</f>
        <v>4</v>
      </c>
      <c r="P91" s="141">
        <f>13*D91/30</f>
        <v>13</v>
      </c>
      <c r="Q91" s="141">
        <f>0.008*D91/30</f>
        <v>0.008</v>
      </c>
      <c r="R91" s="141">
        <f>0.001*D91/30</f>
        <v>0.001</v>
      </c>
      <c r="S91" s="141">
        <v>0</v>
      </c>
      <c r="T91" s="141">
        <f>0.22*D91/30</f>
        <v>0.22</v>
      </c>
      <c r="U91" s="77"/>
      <c r="V91" s="78"/>
      <c r="W91" s="78"/>
      <c r="X91" s="78"/>
    </row>
    <row r="92" spans="1:24" s="73" customFormat="1" ht="11.25" customHeight="1">
      <c r="A92" s="133" t="s">
        <v>25</v>
      </c>
      <c r="B92" s="134"/>
      <c r="C92" s="134"/>
      <c r="D92" s="135">
        <f aca="true" t="shared" si="22" ref="D92:T92">SUM(D85:D91)</f>
        <v>900</v>
      </c>
      <c r="E92" s="150">
        <f t="shared" si="22"/>
        <v>93.99999999999999</v>
      </c>
      <c r="F92" s="127">
        <f t="shared" si="22"/>
        <v>34.1</v>
      </c>
      <c r="G92" s="127">
        <f t="shared" si="22"/>
        <v>36.42583333333332</v>
      </c>
      <c r="H92" s="127">
        <f t="shared" si="22"/>
        <v>115.19333333333334</v>
      </c>
      <c r="I92" s="127">
        <f t="shared" si="22"/>
        <v>925.0058333333334</v>
      </c>
      <c r="J92" s="127">
        <f t="shared" si="22"/>
        <v>0.5725</v>
      </c>
      <c r="K92" s="127">
        <f t="shared" si="22"/>
        <v>0.4216666666666667</v>
      </c>
      <c r="L92" s="127">
        <f t="shared" si="22"/>
        <v>64.23333333333333</v>
      </c>
      <c r="M92" s="127">
        <f t="shared" si="22"/>
        <v>0.8373333333333333</v>
      </c>
      <c r="N92" s="127">
        <f t="shared" si="22"/>
        <v>7.0375000000000005</v>
      </c>
      <c r="O92" s="127">
        <f t="shared" si="22"/>
        <v>192.02</v>
      </c>
      <c r="P92" s="127">
        <f t="shared" si="22"/>
        <v>555.0425</v>
      </c>
      <c r="Q92" s="127">
        <f t="shared" si="22"/>
        <v>5.5313333333333325</v>
      </c>
      <c r="R92" s="127">
        <f t="shared" si="22"/>
        <v>0.05591666666666667</v>
      </c>
      <c r="S92" s="127">
        <f t="shared" si="22"/>
        <v>183.1125</v>
      </c>
      <c r="T92" s="127">
        <f t="shared" si="22"/>
        <v>9.5475</v>
      </c>
      <c r="U92" s="29"/>
      <c r="V92" s="75"/>
      <c r="W92" s="75"/>
      <c r="X92" s="75"/>
    </row>
    <row r="93" spans="1:24" s="73" customFormat="1" ht="11.25" customHeight="1">
      <c r="A93" s="201" t="s">
        <v>55</v>
      </c>
      <c r="B93" s="202"/>
      <c r="C93" s="202"/>
      <c r="D93" s="203"/>
      <c r="E93" s="66"/>
      <c r="F93" s="92">
        <f aca="true" t="shared" si="23" ref="F93:T93">F92/F100</f>
        <v>0.3788888888888889</v>
      </c>
      <c r="G93" s="97">
        <f t="shared" si="23"/>
        <v>0.39593297101449265</v>
      </c>
      <c r="H93" s="97">
        <f t="shared" si="23"/>
        <v>0.30076588337684945</v>
      </c>
      <c r="I93" s="97">
        <f t="shared" si="23"/>
        <v>0.34007567401960787</v>
      </c>
      <c r="J93" s="97">
        <f t="shared" si="23"/>
        <v>0.4089285714285715</v>
      </c>
      <c r="K93" s="97">
        <f t="shared" si="23"/>
        <v>0.2635416666666667</v>
      </c>
      <c r="L93" s="97">
        <f t="shared" si="23"/>
        <v>0.9176190476190477</v>
      </c>
      <c r="M93" s="97">
        <f t="shared" si="23"/>
        <v>0.9303703703703703</v>
      </c>
      <c r="N93" s="97">
        <f t="shared" si="23"/>
        <v>0.5864583333333334</v>
      </c>
      <c r="O93" s="97">
        <f t="shared" si="23"/>
        <v>0.16001666666666667</v>
      </c>
      <c r="P93" s="97">
        <f t="shared" si="23"/>
        <v>0.4625354166666667</v>
      </c>
      <c r="Q93" s="97">
        <f t="shared" si="23"/>
        <v>0.39509523809523805</v>
      </c>
      <c r="R93" s="97">
        <f t="shared" si="23"/>
        <v>0.5591666666666667</v>
      </c>
      <c r="S93" s="97">
        <f t="shared" si="23"/>
        <v>0.610375</v>
      </c>
      <c r="T93" s="97">
        <f t="shared" si="23"/>
        <v>0.5304166666666666</v>
      </c>
      <c r="U93" s="76"/>
      <c r="V93" s="75"/>
      <c r="W93" s="75"/>
      <c r="X93" s="75"/>
    </row>
    <row r="94" spans="1:24" s="73" customFormat="1" ht="11.25" customHeight="1">
      <c r="A94" s="245" t="s">
        <v>26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7"/>
      <c r="U94" s="9"/>
      <c r="V94" s="22"/>
      <c r="W94" s="22"/>
      <c r="X94" s="22"/>
    </row>
    <row r="95" spans="1:20" s="68" customFormat="1" ht="12" customHeight="1">
      <c r="A95" s="166"/>
      <c r="B95" s="223"/>
      <c r="C95" s="223"/>
      <c r="D95" s="163"/>
      <c r="E95" s="164"/>
      <c r="F95" s="164"/>
      <c r="G95" s="169"/>
      <c r="H95" s="169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</row>
    <row r="96" spans="1:24" s="73" customFormat="1" ht="21.75" customHeight="1">
      <c r="A96" s="144"/>
      <c r="B96" s="208"/>
      <c r="C96" s="209"/>
      <c r="D96" s="139"/>
      <c r="E96" s="140"/>
      <c r="F96" s="140"/>
      <c r="G96" s="137"/>
      <c r="H96" s="140"/>
      <c r="I96" s="140"/>
      <c r="J96" s="137"/>
      <c r="K96" s="137"/>
      <c r="L96" s="140"/>
      <c r="M96" s="137"/>
      <c r="N96" s="137"/>
      <c r="O96" s="138"/>
      <c r="P96" s="138"/>
      <c r="Q96" s="139"/>
      <c r="R96" s="139"/>
      <c r="S96" s="138"/>
      <c r="T96" s="140"/>
      <c r="U96" s="77"/>
      <c r="V96" s="78"/>
      <c r="W96" s="78"/>
      <c r="X96" s="78"/>
    </row>
    <row r="97" spans="1:24" s="1" customFormat="1" ht="11.25" customHeight="1">
      <c r="A97" s="133" t="s">
        <v>27</v>
      </c>
      <c r="B97" s="134"/>
      <c r="C97" s="134"/>
      <c r="D97" s="135">
        <f aca="true" t="shared" si="24" ref="D97:T97">SUM(D95:D96)</f>
        <v>0</v>
      </c>
      <c r="E97" s="150">
        <f t="shared" si="24"/>
        <v>0</v>
      </c>
      <c r="F97" s="127">
        <f t="shared" si="24"/>
        <v>0</v>
      </c>
      <c r="G97" s="126">
        <f t="shared" si="24"/>
        <v>0</v>
      </c>
      <c r="H97" s="126">
        <f t="shared" si="24"/>
        <v>0</v>
      </c>
      <c r="I97" s="126">
        <f t="shared" si="24"/>
        <v>0</v>
      </c>
      <c r="J97" s="126">
        <f t="shared" si="24"/>
        <v>0</v>
      </c>
      <c r="K97" s="126">
        <f t="shared" si="24"/>
        <v>0</v>
      </c>
      <c r="L97" s="126">
        <f t="shared" si="24"/>
        <v>0</v>
      </c>
      <c r="M97" s="126">
        <f t="shared" si="24"/>
        <v>0</v>
      </c>
      <c r="N97" s="126">
        <f t="shared" si="24"/>
        <v>0</v>
      </c>
      <c r="O97" s="126">
        <f t="shared" si="24"/>
        <v>0</v>
      </c>
      <c r="P97" s="126">
        <f t="shared" si="24"/>
        <v>0</v>
      </c>
      <c r="Q97" s="126">
        <f t="shared" si="24"/>
        <v>0</v>
      </c>
      <c r="R97" s="126">
        <f t="shared" si="24"/>
        <v>0</v>
      </c>
      <c r="S97" s="126">
        <f t="shared" si="24"/>
        <v>0</v>
      </c>
      <c r="T97" s="126">
        <f t="shared" si="24"/>
        <v>0</v>
      </c>
      <c r="U97" s="29"/>
      <c r="V97" s="75"/>
      <c r="W97" s="75"/>
      <c r="X97" s="75"/>
    </row>
    <row r="98" spans="1:24" s="1" customFormat="1" ht="11.25" customHeight="1">
      <c r="A98" s="201" t="s">
        <v>55</v>
      </c>
      <c r="B98" s="202"/>
      <c r="C98" s="202"/>
      <c r="D98" s="203"/>
      <c r="E98" s="66"/>
      <c r="F98" s="92">
        <f>F97/F100</f>
        <v>0</v>
      </c>
      <c r="G98" s="65">
        <f aca="true" t="shared" si="25" ref="G98:T98">G97/G100</f>
        <v>0</v>
      </c>
      <c r="H98" s="65">
        <f t="shared" si="25"/>
        <v>0</v>
      </c>
      <c r="I98" s="65">
        <f t="shared" si="25"/>
        <v>0</v>
      </c>
      <c r="J98" s="65">
        <f t="shared" si="25"/>
        <v>0</v>
      </c>
      <c r="K98" s="65">
        <f t="shared" si="25"/>
        <v>0</v>
      </c>
      <c r="L98" s="65">
        <f t="shared" si="25"/>
        <v>0</v>
      </c>
      <c r="M98" s="65">
        <f t="shared" si="25"/>
        <v>0</v>
      </c>
      <c r="N98" s="65">
        <f t="shared" si="25"/>
        <v>0</v>
      </c>
      <c r="O98" s="65">
        <f t="shared" si="25"/>
        <v>0</v>
      </c>
      <c r="P98" s="65">
        <f t="shared" si="25"/>
        <v>0</v>
      </c>
      <c r="Q98" s="65">
        <f t="shared" si="25"/>
        <v>0</v>
      </c>
      <c r="R98" s="65">
        <f t="shared" si="25"/>
        <v>0</v>
      </c>
      <c r="S98" s="65">
        <f t="shared" si="25"/>
        <v>0</v>
      </c>
      <c r="T98" s="65">
        <f t="shared" si="25"/>
        <v>0</v>
      </c>
      <c r="U98" s="44"/>
      <c r="V98" s="75"/>
      <c r="W98" s="75"/>
      <c r="X98" s="75"/>
    </row>
    <row r="99" spans="1:24" s="1" customFormat="1" ht="11.25" customHeight="1">
      <c r="A99" s="133" t="s">
        <v>54</v>
      </c>
      <c r="B99" s="134"/>
      <c r="C99" s="134"/>
      <c r="D99" s="61">
        <f>D92+D81</f>
        <v>1436</v>
      </c>
      <c r="E99" s="151">
        <f>E92+E81</f>
        <v>167</v>
      </c>
      <c r="F99" s="127">
        <f aca="true" t="shared" si="26" ref="F99:T99">SUM(F81,F92,F97)</f>
        <v>58.78</v>
      </c>
      <c r="G99" s="126">
        <f t="shared" si="26"/>
        <v>62.84183333333332</v>
      </c>
      <c r="H99" s="126">
        <f t="shared" si="26"/>
        <v>189.35333333333335</v>
      </c>
      <c r="I99" s="126">
        <f t="shared" si="26"/>
        <v>1558.1898333333334</v>
      </c>
      <c r="J99" s="127">
        <f t="shared" si="26"/>
        <v>1.4115000000000002</v>
      </c>
      <c r="K99" s="127">
        <f t="shared" si="26"/>
        <v>1.2416666666666667</v>
      </c>
      <c r="L99" s="132">
        <f t="shared" si="26"/>
        <v>74.86333333333333</v>
      </c>
      <c r="M99" s="127">
        <f t="shared" si="26"/>
        <v>1.3003333333333333</v>
      </c>
      <c r="N99" s="132">
        <f t="shared" si="26"/>
        <v>7.827500000000001</v>
      </c>
      <c r="O99" s="126">
        <f t="shared" si="26"/>
        <v>255.26</v>
      </c>
      <c r="P99" s="127">
        <f t="shared" si="26"/>
        <v>892.0725</v>
      </c>
      <c r="Q99" s="126">
        <f t="shared" si="26"/>
        <v>5.620333333333333</v>
      </c>
      <c r="R99" s="128">
        <f t="shared" si="26"/>
        <v>0.05791666666666667</v>
      </c>
      <c r="S99" s="127">
        <f t="shared" si="26"/>
        <v>256.9425</v>
      </c>
      <c r="T99" s="127">
        <f t="shared" si="26"/>
        <v>13.587499999999999</v>
      </c>
      <c r="U99" s="37"/>
      <c r="V99" s="74"/>
      <c r="W99" s="74"/>
      <c r="X99" s="74"/>
    </row>
    <row r="100" spans="1:24" s="1" customFormat="1" ht="11.25" customHeight="1">
      <c r="A100" s="201" t="s">
        <v>56</v>
      </c>
      <c r="B100" s="202"/>
      <c r="C100" s="202"/>
      <c r="D100" s="203"/>
      <c r="E100" s="180"/>
      <c r="F100" s="140">
        <v>90</v>
      </c>
      <c r="G100" s="138">
        <v>92</v>
      </c>
      <c r="H100" s="138">
        <v>383</v>
      </c>
      <c r="I100" s="138">
        <v>2720</v>
      </c>
      <c r="J100" s="140">
        <v>1.4</v>
      </c>
      <c r="K100" s="140">
        <v>1.6</v>
      </c>
      <c r="L100" s="139">
        <v>70</v>
      </c>
      <c r="M100" s="140">
        <v>0.9</v>
      </c>
      <c r="N100" s="139">
        <v>12</v>
      </c>
      <c r="O100" s="139">
        <v>1200</v>
      </c>
      <c r="P100" s="139">
        <v>1200</v>
      </c>
      <c r="Q100" s="139">
        <v>14</v>
      </c>
      <c r="R100" s="138">
        <v>0.1</v>
      </c>
      <c r="S100" s="139">
        <v>300</v>
      </c>
      <c r="T100" s="140">
        <v>18</v>
      </c>
      <c r="U100" s="77"/>
      <c r="V100" s="78"/>
      <c r="W100" s="78"/>
      <c r="X100" s="78"/>
    </row>
    <row r="101" spans="1:24" s="6" customFormat="1" ht="11.25" customHeight="1">
      <c r="A101" s="225" t="s">
        <v>55</v>
      </c>
      <c r="B101" s="226"/>
      <c r="C101" s="226"/>
      <c r="D101" s="227"/>
      <c r="E101" s="175"/>
      <c r="F101" s="51">
        <f aca="true" t="shared" si="27" ref="F101:T101">F99/F100</f>
        <v>0.6531111111111111</v>
      </c>
      <c r="G101" s="130">
        <f t="shared" si="27"/>
        <v>0.6830634057971013</v>
      </c>
      <c r="H101" s="130">
        <f t="shared" si="27"/>
        <v>0.49439512619669285</v>
      </c>
      <c r="I101" s="130">
        <f t="shared" si="27"/>
        <v>0.5728639093137256</v>
      </c>
      <c r="J101" s="130">
        <f t="shared" si="27"/>
        <v>1.008214285714286</v>
      </c>
      <c r="K101" s="130">
        <f t="shared" si="27"/>
        <v>0.7760416666666666</v>
      </c>
      <c r="L101" s="130">
        <f t="shared" si="27"/>
        <v>1.0694761904761905</v>
      </c>
      <c r="M101" s="33">
        <f t="shared" si="27"/>
        <v>1.4448148148148148</v>
      </c>
      <c r="N101" s="33">
        <f t="shared" si="27"/>
        <v>0.6522916666666667</v>
      </c>
      <c r="O101" s="130">
        <f t="shared" si="27"/>
        <v>0.21271666666666667</v>
      </c>
      <c r="P101" s="130">
        <f t="shared" si="27"/>
        <v>0.74339375</v>
      </c>
      <c r="Q101" s="130">
        <f t="shared" si="27"/>
        <v>0.40145238095238095</v>
      </c>
      <c r="R101" s="33">
        <f t="shared" si="27"/>
        <v>0.5791666666666667</v>
      </c>
      <c r="S101" s="130">
        <f t="shared" si="27"/>
        <v>0.856475</v>
      </c>
      <c r="T101" s="130">
        <f t="shared" si="27"/>
        <v>0.754861111111111</v>
      </c>
      <c r="U101" s="38"/>
      <c r="V101" s="39"/>
      <c r="W101" s="39"/>
      <c r="X101" s="39"/>
    </row>
    <row r="102" spans="1:24" s="1" customFormat="1" ht="11.25" customHeight="1">
      <c r="A102" s="222" t="s">
        <v>32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11"/>
      <c r="V102" s="23"/>
      <c r="W102" s="23"/>
      <c r="X102" s="23"/>
    </row>
    <row r="103" spans="1:24" s="1" customFormat="1" ht="11.25" customHeight="1">
      <c r="A103" s="43" t="s">
        <v>48</v>
      </c>
      <c r="B103" s="41"/>
      <c r="C103" s="41"/>
      <c r="D103" s="2"/>
      <c r="E103" s="2"/>
      <c r="F103" s="119"/>
      <c r="G103" s="196" t="s">
        <v>33</v>
      </c>
      <c r="H103" s="196"/>
      <c r="I103" s="196"/>
      <c r="J103" s="121"/>
      <c r="K103" s="121"/>
      <c r="L103" s="215" t="s">
        <v>1</v>
      </c>
      <c r="M103" s="215"/>
      <c r="N103" s="214" t="str">
        <f>N71</f>
        <v>весенне-летний</v>
      </c>
      <c r="O103" s="214"/>
      <c r="P103" s="214"/>
      <c r="Q103" s="214"/>
      <c r="R103" s="121"/>
      <c r="S103" s="121"/>
      <c r="T103" s="121"/>
      <c r="U103" s="12"/>
      <c r="V103" s="18"/>
      <c r="W103" s="18"/>
      <c r="X103" s="18"/>
    </row>
    <row r="104" spans="1:24" s="1" customFormat="1" ht="11.25" customHeight="1">
      <c r="A104" s="41"/>
      <c r="B104" s="41"/>
      <c r="C104" s="41"/>
      <c r="D104" s="229" t="s">
        <v>2</v>
      </c>
      <c r="E104" s="229"/>
      <c r="F104" s="229"/>
      <c r="G104" s="5">
        <v>1</v>
      </c>
      <c r="H104" s="121"/>
      <c r="I104" s="2"/>
      <c r="J104" s="2"/>
      <c r="K104" s="2"/>
      <c r="L104" s="229" t="s">
        <v>3</v>
      </c>
      <c r="M104" s="229"/>
      <c r="N104" s="196" t="str">
        <f>N72</f>
        <v>с 7-11 лет;12 и старше</v>
      </c>
      <c r="O104" s="196"/>
      <c r="P104" s="196"/>
      <c r="Q104" s="196"/>
      <c r="R104" s="196"/>
      <c r="S104" s="196"/>
      <c r="T104" s="196"/>
      <c r="U104" s="13"/>
      <c r="V104" s="19"/>
      <c r="W104" s="19"/>
      <c r="X104" s="19"/>
    </row>
    <row r="105" spans="1:24" s="1" customFormat="1" ht="21.75" customHeight="1">
      <c r="A105" s="216" t="s">
        <v>68</v>
      </c>
      <c r="B105" s="216" t="s">
        <v>5</v>
      </c>
      <c r="C105" s="216"/>
      <c r="D105" s="216" t="s">
        <v>6</v>
      </c>
      <c r="E105" s="176"/>
      <c r="F105" s="250" t="s">
        <v>7</v>
      </c>
      <c r="G105" s="250"/>
      <c r="H105" s="250"/>
      <c r="I105" s="216" t="s">
        <v>8</v>
      </c>
      <c r="J105" s="250" t="s">
        <v>9</v>
      </c>
      <c r="K105" s="250"/>
      <c r="L105" s="250"/>
      <c r="M105" s="250"/>
      <c r="N105" s="250"/>
      <c r="O105" s="250" t="s">
        <v>10</v>
      </c>
      <c r="P105" s="250"/>
      <c r="Q105" s="250"/>
      <c r="R105" s="250"/>
      <c r="S105" s="250"/>
      <c r="T105" s="250"/>
      <c r="U105" s="7"/>
      <c r="V105" s="20"/>
      <c r="W105" s="20"/>
      <c r="X105" s="20"/>
    </row>
    <row r="106" spans="1:24" s="1" customFormat="1" ht="21" customHeight="1">
      <c r="A106" s="217"/>
      <c r="B106" s="199"/>
      <c r="C106" s="200"/>
      <c r="D106" s="217"/>
      <c r="E106" s="177"/>
      <c r="F106" s="57" t="s">
        <v>11</v>
      </c>
      <c r="G106" s="182" t="s">
        <v>12</v>
      </c>
      <c r="H106" s="182" t="s">
        <v>13</v>
      </c>
      <c r="I106" s="217"/>
      <c r="J106" s="182" t="s">
        <v>14</v>
      </c>
      <c r="K106" s="182" t="s">
        <v>50</v>
      </c>
      <c r="L106" s="182" t="s">
        <v>15</v>
      </c>
      <c r="M106" s="182" t="s">
        <v>16</v>
      </c>
      <c r="N106" s="182" t="s">
        <v>17</v>
      </c>
      <c r="O106" s="182" t="s">
        <v>18</v>
      </c>
      <c r="P106" s="182" t="s">
        <v>19</v>
      </c>
      <c r="Q106" s="182" t="s">
        <v>51</v>
      </c>
      <c r="R106" s="182" t="s">
        <v>52</v>
      </c>
      <c r="S106" s="182" t="s">
        <v>20</v>
      </c>
      <c r="T106" s="182" t="s">
        <v>21</v>
      </c>
      <c r="U106" s="7"/>
      <c r="V106" s="20"/>
      <c r="W106" s="20"/>
      <c r="X106" s="20"/>
    </row>
    <row r="107" spans="1:24" s="1" customFormat="1" ht="11.25" customHeight="1">
      <c r="A107" s="183">
        <v>1</v>
      </c>
      <c r="B107" s="251">
        <v>2</v>
      </c>
      <c r="C107" s="251"/>
      <c r="D107" s="28">
        <v>3</v>
      </c>
      <c r="E107" s="28"/>
      <c r="F107" s="58">
        <v>4</v>
      </c>
      <c r="G107" s="28">
        <v>5</v>
      </c>
      <c r="H107" s="28">
        <v>6</v>
      </c>
      <c r="I107" s="28">
        <v>7</v>
      </c>
      <c r="J107" s="28">
        <v>8</v>
      </c>
      <c r="K107" s="28">
        <v>9</v>
      </c>
      <c r="L107" s="28">
        <v>10</v>
      </c>
      <c r="M107" s="28">
        <v>11</v>
      </c>
      <c r="N107" s="28">
        <v>12</v>
      </c>
      <c r="O107" s="28">
        <v>13</v>
      </c>
      <c r="P107" s="28">
        <v>14</v>
      </c>
      <c r="Q107" s="28">
        <v>15</v>
      </c>
      <c r="R107" s="28">
        <v>16</v>
      </c>
      <c r="S107" s="28">
        <v>17</v>
      </c>
      <c r="T107" s="28">
        <v>18</v>
      </c>
      <c r="U107" s="8"/>
      <c r="V107" s="21"/>
      <c r="W107" s="21"/>
      <c r="X107" s="21"/>
    </row>
    <row r="108" spans="1:24" s="1" customFormat="1" ht="11.25" customHeight="1">
      <c r="A108" s="221" t="s">
        <v>93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9"/>
      <c r="V108" s="22"/>
      <c r="W108" s="22"/>
      <c r="X108" s="22"/>
    </row>
    <row r="109" spans="1:24" s="154" customFormat="1" ht="21.75" customHeight="1">
      <c r="A109" s="183">
        <v>173</v>
      </c>
      <c r="B109" s="208" t="s">
        <v>84</v>
      </c>
      <c r="C109" s="209"/>
      <c r="D109" s="139">
        <v>250</v>
      </c>
      <c r="E109" s="140">
        <v>19.49</v>
      </c>
      <c r="F109" s="140">
        <v>9.125</v>
      </c>
      <c r="G109" s="140">
        <v>15.62</v>
      </c>
      <c r="H109" s="140">
        <v>67.87</v>
      </c>
      <c r="I109" s="140">
        <v>448.62</v>
      </c>
      <c r="J109" s="140">
        <v>0.17</v>
      </c>
      <c r="K109" s="140">
        <v>0.225</v>
      </c>
      <c r="L109" s="140">
        <v>4.188</v>
      </c>
      <c r="M109" s="141">
        <v>0.046</v>
      </c>
      <c r="N109" s="137">
        <v>1.62</v>
      </c>
      <c r="O109" s="140">
        <v>184.5</v>
      </c>
      <c r="P109" s="140">
        <v>248.25</v>
      </c>
      <c r="Q109" s="139">
        <v>0</v>
      </c>
      <c r="R109" s="141">
        <v>0</v>
      </c>
      <c r="S109" s="140">
        <v>72.25</v>
      </c>
      <c r="T109" s="140">
        <v>1.625</v>
      </c>
      <c r="U109" s="152"/>
      <c r="V109" s="159"/>
      <c r="W109" s="159"/>
      <c r="X109" s="159"/>
    </row>
    <row r="110" spans="1:24" s="112" customFormat="1" ht="12" customHeight="1">
      <c r="A110" s="149">
        <v>15</v>
      </c>
      <c r="B110" s="208" t="s">
        <v>118</v>
      </c>
      <c r="C110" s="209"/>
      <c r="D110" s="139">
        <v>25</v>
      </c>
      <c r="E110" s="140">
        <v>17.5</v>
      </c>
      <c r="F110" s="140">
        <f>2.32*D110/10</f>
        <v>5.799999999999999</v>
      </c>
      <c r="G110" s="140">
        <f>3.4*D110/10</f>
        <v>8.5</v>
      </c>
      <c r="H110" s="140">
        <f>0.01*D110/10</f>
        <v>0.025</v>
      </c>
      <c r="I110" s="140">
        <f>F110*4+G110*9+H110*4</f>
        <v>99.79999999999998</v>
      </c>
      <c r="J110" s="140">
        <f>0.004*D110/10</f>
        <v>0.01</v>
      </c>
      <c r="K110" s="140">
        <f>0.03*D110/10</f>
        <v>0.075</v>
      </c>
      <c r="L110" s="140">
        <f>0.07*D110/10</f>
        <v>0.17500000000000002</v>
      </c>
      <c r="M110" s="141">
        <f>0.023*D110/10</f>
        <v>0.057499999999999996</v>
      </c>
      <c r="N110" s="140">
        <f>0.05*D110/10</f>
        <v>0.125</v>
      </c>
      <c r="O110" s="140">
        <f>88*D110/10</f>
        <v>220</v>
      </c>
      <c r="P110" s="140">
        <f>50*D110/10</f>
        <v>125</v>
      </c>
      <c r="Q110" s="140">
        <f>0.4*D110/10</f>
        <v>1</v>
      </c>
      <c r="R110" s="141">
        <f>0.02*D110/10</f>
        <v>0.05</v>
      </c>
      <c r="S110" s="140">
        <f>3.5*D110/10</f>
        <v>8.75</v>
      </c>
      <c r="T110" s="140">
        <f>0.13*D110/10</f>
        <v>0.325</v>
      </c>
      <c r="U110" s="117"/>
      <c r="V110" s="113"/>
      <c r="W110" s="113"/>
      <c r="X110" s="114"/>
    </row>
    <row r="111" spans="1:24" s="112" customFormat="1" ht="12.75" customHeight="1">
      <c r="A111" s="183">
        <v>377</v>
      </c>
      <c r="B111" s="212" t="s">
        <v>41</v>
      </c>
      <c r="C111" s="212"/>
      <c r="D111" s="139">
        <v>200</v>
      </c>
      <c r="E111" s="140">
        <v>3.81</v>
      </c>
      <c r="F111" s="140">
        <v>0.26</v>
      </c>
      <c r="G111" s="140">
        <v>0.06</v>
      </c>
      <c r="H111" s="140">
        <v>15.22</v>
      </c>
      <c r="I111" s="140">
        <f>F111*4+G111*9+H111*4</f>
        <v>62.46</v>
      </c>
      <c r="J111" s="140"/>
      <c r="K111" s="140">
        <v>0.01</v>
      </c>
      <c r="L111" s="140">
        <v>2.9</v>
      </c>
      <c r="M111" s="137">
        <v>0</v>
      </c>
      <c r="N111" s="140">
        <v>0.06</v>
      </c>
      <c r="O111" s="140">
        <v>8.05</v>
      </c>
      <c r="P111" s="140">
        <v>9.78</v>
      </c>
      <c r="Q111" s="140">
        <v>0.017</v>
      </c>
      <c r="R111" s="141">
        <v>0</v>
      </c>
      <c r="S111" s="140">
        <v>5.24</v>
      </c>
      <c r="T111" s="140">
        <v>0.87</v>
      </c>
      <c r="U111" s="117"/>
      <c r="V111" s="118"/>
      <c r="W111" s="118"/>
      <c r="X111" s="118"/>
    </row>
    <row r="112" spans="1:24" s="112" customFormat="1" ht="11.25" customHeight="1">
      <c r="A112" s="149">
        <v>338</v>
      </c>
      <c r="B112" s="212" t="s">
        <v>82</v>
      </c>
      <c r="C112" s="212"/>
      <c r="D112" s="139">
        <v>100</v>
      </c>
      <c r="E112" s="140">
        <v>29.68</v>
      </c>
      <c r="F112" s="140">
        <v>0.4</v>
      </c>
      <c r="G112" s="140">
        <v>0.4</v>
      </c>
      <c r="H112" s="140">
        <v>9.8</v>
      </c>
      <c r="I112" s="140">
        <f>F112*4+G112*9+H112*4</f>
        <v>44.400000000000006</v>
      </c>
      <c r="J112" s="140">
        <v>0.04</v>
      </c>
      <c r="K112" s="140">
        <v>0.02</v>
      </c>
      <c r="L112" s="139">
        <v>10</v>
      </c>
      <c r="M112" s="139">
        <v>0.02</v>
      </c>
      <c r="N112" s="140">
        <v>0.2</v>
      </c>
      <c r="O112" s="140">
        <v>16</v>
      </c>
      <c r="P112" s="140">
        <v>11</v>
      </c>
      <c r="Q112" s="139">
        <v>0.03</v>
      </c>
      <c r="R112" s="139">
        <v>0.002</v>
      </c>
      <c r="S112" s="140">
        <v>9</v>
      </c>
      <c r="T112" s="140">
        <v>2.2</v>
      </c>
      <c r="U112" s="117"/>
      <c r="V112" s="113"/>
      <c r="W112" s="113"/>
      <c r="X112" s="114"/>
    </row>
    <row r="113" spans="1:24" s="112" customFormat="1" ht="12.75" customHeight="1">
      <c r="A113" s="144" t="s">
        <v>58</v>
      </c>
      <c r="B113" s="208" t="s">
        <v>47</v>
      </c>
      <c r="C113" s="209"/>
      <c r="D113" s="139">
        <v>30</v>
      </c>
      <c r="E113" s="140">
        <v>2.52</v>
      </c>
      <c r="F113" s="140">
        <f>1.52*D113/30</f>
        <v>1.52</v>
      </c>
      <c r="G113" s="141">
        <f>0.16*D113/30</f>
        <v>0.16</v>
      </c>
      <c r="H113" s="141">
        <f>9.84*D113/30</f>
        <v>9.84</v>
      </c>
      <c r="I113" s="141">
        <f>F113*4+G113*9+H113*4</f>
        <v>46.879999999999995</v>
      </c>
      <c r="J113" s="141">
        <f>0.02*D113/30</f>
        <v>0.02</v>
      </c>
      <c r="K113" s="141">
        <f>0.01*D113/30</f>
        <v>0.01</v>
      </c>
      <c r="L113" s="141">
        <f>0.44*D113/30</f>
        <v>0.44</v>
      </c>
      <c r="M113" s="141">
        <v>0</v>
      </c>
      <c r="N113" s="141">
        <f>0.7*D113/30</f>
        <v>0.7</v>
      </c>
      <c r="O113" s="141">
        <f>4*D113/30</f>
        <v>4</v>
      </c>
      <c r="P113" s="141">
        <f>13*D113/30</f>
        <v>13</v>
      </c>
      <c r="Q113" s="141">
        <f>0.008*D113/30</f>
        <v>0.008</v>
      </c>
      <c r="R113" s="141">
        <f>0.001*D113/30</f>
        <v>0.001</v>
      </c>
      <c r="S113" s="141">
        <v>0</v>
      </c>
      <c r="T113" s="141">
        <f>0.22*D113/30</f>
        <v>0.22</v>
      </c>
      <c r="U113" s="117"/>
      <c r="V113" s="118"/>
      <c r="W113" s="118"/>
      <c r="X113" s="118"/>
    </row>
    <row r="114" spans="1:25" s="1" customFormat="1" ht="11.25" customHeight="1">
      <c r="A114" s="45" t="s">
        <v>95</v>
      </c>
      <c r="B114" s="45"/>
      <c r="C114" s="45"/>
      <c r="D114" s="135">
        <f>SUM(D109:D113)</f>
        <v>605</v>
      </c>
      <c r="E114" s="150">
        <f>SUM(E109:E113)</f>
        <v>72.99999999999999</v>
      </c>
      <c r="F114" s="150">
        <f aca="true" t="shared" si="28" ref="F114:T114">SUM(F109:F113)</f>
        <v>17.105</v>
      </c>
      <c r="G114" s="150">
        <f t="shared" si="28"/>
        <v>24.739999999999995</v>
      </c>
      <c r="H114" s="150">
        <f t="shared" si="28"/>
        <v>102.75500000000001</v>
      </c>
      <c r="I114" s="150">
        <f t="shared" si="28"/>
        <v>702.16</v>
      </c>
      <c r="J114" s="150">
        <f t="shared" si="28"/>
        <v>0.24000000000000002</v>
      </c>
      <c r="K114" s="150">
        <f t="shared" si="28"/>
        <v>0.34</v>
      </c>
      <c r="L114" s="150">
        <f t="shared" si="28"/>
        <v>17.703</v>
      </c>
      <c r="M114" s="150">
        <f t="shared" si="28"/>
        <v>0.1235</v>
      </c>
      <c r="N114" s="150">
        <f t="shared" si="28"/>
        <v>2.705</v>
      </c>
      <c r="O114" s="150">
        <f t="shared" si="28"/>
        <v>432.55</v>
      </c>
      <c r="P114" s="150">
        <f t="shared" si="28"/>
        <v>407.03</v>
      </c>
      <c r="Q114" s="150">
        <f t="shared" si="28"/>
        <v>1.055</v>
      </c>
      <c r="R114" s="150">
        <f t="shared" si="28"/>
        <v>0.053000000000000005</v>
      </c>
      <c r="S114" s="150">
        <f t="shared" si="28"/>
        <v>95.24</v>
      </c>
      <c r="T114" s="150">
        <f t="shared" si="28"/>
        <v>5.239999999999999</v>
      </c>
      <c r="U114" s="29"/>
      <c r="V114" s="51">
        <f>AVERAGE(I115,I147,I182,I215,I248)</f>
        <v>29.764137622549022</v>
      </c>
      <c r="W114" s="51" t="e">
        <f>AVERAGE(I125,I159,#REF!,I225,#REF!)</f>
        <v>#REF!</v>
      </c>
      <c r="X114" s="51">
        <f>AVERAGE(I130,I165,I198,I230,I262)</f>
        <v>874.0791666666668</v>
      </c>
      <c r="Y114" s="72"/>
    </row>
    <row r="115" spans="1:24" s="1" customFormat="1" ht="11.25" customHeight="1">
      <c r="A115" s="201" t="s">
        <v>55</v>
      </c>
      <c r="B115" s="202"/>
      <c r="C115" s="202"/>
      <c r="D115" s="203"/>
      <c r="E115" s="180"/>
      <c r="F115" s="63">
        <f aca="true" t="shared" si="29" ref="F115:T115">F114/F132</f>
        <v>0.19005555555555556</v>
      </c>
      <c r="G115" s="97">
        <f t="shared" si="29"/>
        <v>0.26891304347826084</v>
      </c>
      <c r="H115" s="97">
        <f t="shared" si="29"/>
        <v>0.268289817232376</v>
      </c>
      <c r="I115" s="97">
        <f t="shared" si="29"/>
        <v>0.2581470588235294</v>
      </c>
      <c r="J115" s="97">
        <f t="shared" si="29"/>
        <v>0.17142857142857146</v>
      </c>
      <c r="K115" s="97">
        <f t="shared" si="29"/>
        <v>0.2125</v>
      </c>
      <c r="L115" s="97">
        <f t="shared" si="29"/>
        <v>0.2529</v>
      </c>
      <c r="M115" s="97">
        <f t="shared" si="29"/>
        <v>0.13722222222222222</v>
      </c>
      <c r="N115" s="97">
        <f t="shared" si="29"/>
        <v>0.22541666666666668</v>
      </c>
      <c r="O115" s="97">
        <f t="shared" si="29"/>
        <v>0.3604583333333333</v>
      </c>
      <c r="P115" s="97">
        <f t="shared" si="29"/>
        <v>0.33919166666666667</v>
      </c>
      <c r="Q115" s="97">
        <f t="shared" si="29"/>
        <v>0.07535714285714286</v>
      </c>
      <c r="R115" s="97">
        <f t="shared" si="29"/>
        <v>0.53</v>
      </c>
      <c r="S115" s="97">
        <f t="shared" si="29"/>
        <v>0.3174666666666667</v>
      </c>
      <c r="T115" s="97">
        <f t="shared" si="29"/>
        <v>0.2911111111111111</v>
      </c>
      <c r="U115" s="76"/>
      <c r="V115" s="75"/>
      <c r="W115" s="75"/>
      <c r="X115" s="75"/>
    </row>
    <row r="116" spans="1:24" s="1" customFormat="1" ht="11.25" customHeight="1">
      <c r="A116" s="221" t="s">
        <v>24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9"/>
      <c r="V116" s="22"/>
      <c r="W116" s="22"/>
      <c r="X116" s="22"/>
    </row>
    <row r="117" spans="1:24" s="155" customFormat="1" ht="21.75" customHeight="1">
      <c r="A117" s="144">
        <v>52</v>
      </c>
      <c r="B117" s="208" t="s">
        <v>114</v>
      </c>
      <c r="C117" s="209"/>
      <c r="D117" s="139">
        <v>100</v>
      </c>
      <c r="E117" s="140">
        <v>15.69</v>
      </c>
      <c r="F117" s="140">
        <v>1.4333333333333333</v>
      </c>
      <c r="G117" s="140">
        <v>5.083333333333333</v>
      </c>
      <c r="H117" s="140">
        <v>8.55</v>
      </c>
      <c r="I117" s="140">
        <v>85.68333333333334</v>
      </c>
      <c r="J117" s="140">
        <v>0.016666666666666666</v>
      </c>
      <c r="K117" s="140">
        <v>0.03333333333333333</v>
      </c>
      <c r="L117" s="138">
        <v>9.5</v>
      </c>
      <c r="M117" s="140">
        <v>0.016666666666666666</v>
      </c>
      <c r="N117" s="140">
        <v>0.16666666666666666</v>
      </c>
      <c r="O117" s="140">
        <v>44.35</v>
      </c>
      <c r="P117" s="140">
        <v>42.733333333333334</v>
      </c>
      <c r="Q117" s="140">
        <v>0.7166666666666667</v>
      </c>
      <c r="R117" s="141">
        <v>0.016666666666666666</v>
      </c>
      <c r="S117" s="138">
        <v>21.45</v>
      </c>
      <c r="T117" s="140">
        <v>1.4</v>
      </c>
      <c r="U117" s="152"/>
      <c r="V117" s="153"/>
      <c r="W117" s="153"/>
      <c r="X117" s="153"/>
    </row>
    <row r="118" spans="1:24" s="121" customFormat="1" ht="23.25" customHeight="1">
      <c r="A118" s="192">
        <v>88</v>
      </c>
      <c r="B118" s="210" t="s">
        <v>81</v>
      </c>
      <c r="C118" s="211"/>
      <c r="D118" s="137">
        <v>250</v>
      </c>
      <c r="E118" s="137">
        <v>14.28</v>
      </c>
      <c r="F118" s="140">
        <v>2.44</v>
      </c>
      <c r="G118" s="140">
        <v>6.41</v>
      </c>
      <c r="H118" s="140">
        <v>11.11</v>
      </c>
      <c r="I118" s="140">
        <f>F118*4+G118*9+H118*4</f>
        <v>111.89</v>
      </c>
      <c r="J118" s="140">
        <v>0.03</v>
      </c>
      <c r="K118" s="140">
        <v>0.03</v>
      </c>
      <c r="L118" s="140">
        <v>11.39</v>
      </c>
      <c r="M118" s="140">
        <v>0.05</v>
      </c>
      <c r="N118" s="140">
        <v>0.099</v>
      </c>
      <c r="O118" s="140">
        <v>45.49</v>
      </c>
      <c r="P118" s="140">
        <v>29.96</v>
      </c>
      <c r="Q118" s="140">
        <v>1.44</v>
      </c>
      <c r="R118" s="141">
        <v>0.002</v>
      </c>
      <c r="S118" s="140">
        <v>15.35</v>
      </c>
      <c r="T118" s="140">
        <v>0.49</v>
      </c>
      <c r="U118" s="100"/>
      <c r="V118" s="101"/>
      <c r="W118" s="101"/>
      <c r="X118" s="101"/>
    </row>
    <row r="119" spans="1:24" s="154" customFormat="1" ht="22.5" customHeight="1">
      <c r="A119" s="144">
        <v>232</v>
      </c>
      <c r="B119" s="208" t="s">
        <v>87</v>
      </c>
      <c r="C119" s="209"/>
      <c r="D119" s="139">
        <v>100</v>
      </c>
      <c r="E119" s="140">
        <v>34.82</v>
      </c>
      <c r="F119" s="140">
        <v>20.2</v>
      </c>
      <c r="G119" s="140">
        <v>12.07</v>
      </c>
      <c r="H119" s="140">
        <v>2.08</v>
      </c>
      <c r="I119" s="140">
        <v>197.75</v>
      </c>
      <c r="J119" s="140">
        <v>0.2</v>
      </c>
      <c r="K119" s="140">
        <v>0.17</v>
      </c>
      <c r="L119" s="140">
        <v>2.63</v>
      </c>
      <c r="M119" s="141">
        <v>0.03125</v>
      </c>
      <c r="N119" s="140">
        <v>0.3</v>
      </c>
      <c r="O119" s="140">
        <v>86.1125</v>
      </c>
      <c r="P119" s="140">
        <v>41.762499999999996</v>
      </c>
      <c r="Q119" s="138">
        <v>0.8</v>
      </c>
      <c r="R119" s="138">
        <v>0.04</v>
      </c>
      <c r="S119" s="140">
        <v>28.9625</v>
      </c>
      <c r="T119" s="140">
        <v>0.9125</v>
      </c>
      <c r="U119" s="152"/>
      <c r="V119" s="153"/>
      <c r="W119" s="153"/>
      <c r="X119" s="153"/>
    </row>
    <row r="120" spans="1:24" s="154" customFormat="1" ht="19.5" customHeight="1">
      <c r="A120" s="144">
        <v>312</v>
      </c>
      <c r="B120" s="208" t="s">
        <v>43</v>
      </c>
      <c r="C120" s="209"/>
      <c r="D120" s="139">
        <v>180</v>
      </c>
      <c r="E120" s="140">
        <v>19.71</v>
      </c>
      <c r="F120" s="140">
        <v>3.9480000000000004</v>
      </c>
      <c r="G120" s="140">
        <v>8.472</v>
      </c>
      <c r="H120" s="140">
        <v>26.652</v>
      </c>
      <c r="I120" s="140">
        <v>198.648</v>
      </c>
      <c r="J120" s="140">
        <v>0.192</v>
      </c>
      <c r="K120" s="140">
        <v>0.15600000000000003</v>
      </c>
      <c r="L120" s="140">
        <v>0.876</v>
      </c>
      <c r="M120" s="141">
        <v>0.096</v>
      </c>
      <c r="N120" s="137">
        <v>1.8</v>
      </c>
      <c r="O120" s="140">
        <v>51.048</v>
      </c>
      <c r="P120" s="138">
        <v>117.3</v>
      </c>
      <c r="Q120" s="141">
        <v>0.3588</v>
      </c>
      <c r="R120" s="141">
        <v>0.0012</v>
      </c>
      <c r="S120" s="140">
        <v>39.672000000000004</v>
      </c>
      <c r="T120" s="140">
        <v>1.428</v>
      </c>
      <c r="U120" s="152"/>
      <c r="V120" s="153"/>
      <c r="W120" s="153"/>
      <c r="X120" s="153"/>
    </row>
    <row r="121" spans="1:24" s="154" customFormat="1" ht="11.25">
      <c r="A121" s="69">
        <v>345</v>
      </c>
      <c r="B121" s="213" t="s">
        <v>44</v>
      </c>
      <c r="C121" s="213"/>
      <c r="D121" s="71">
        <v>200</v>
      </c>
      <c r="E121" s="67">
        <v>4.9</v>
      </c>
      <c r="F121" s="67">
        <v>0.06</v>
      </c>
      <c r="G121" s="67">
        <v>0.02</v>
      </c>
      <c r="H121" s="67">
        <v>20.73</v>
      </c>
      <c r="I121" s="67">
        <v>83.34</v>
      </c>
      <c r="J121" s="67">
        <v>0</v>
      </c>
      <c r="K121" s="67">
        <v>0</v>
      </c>
      <c r="L121" s="67">
        <v>2.5</v>
      </c>
      <c r="M121" s="67">
        <v>0.004</v>
      </c>
      <c r="N121" s="67">
        <v>0.2</v>
      </c>
      <c r="O121" s="67">
        <v>4</v>
      </c>
      <c r="P121" s="67">
        <v>3.3</v>
      </c>
      <c r="Q121" s="67">
        <v>0.08</v>
      </c>
      <c r="R121" s="67">
        <v>0.001</v>
      </c>
      <c r="S121" s="67">
        <v>1.7</v>
      </c>
      <c r="T121" s="67">
        <v>0.15</v>
      </c>
      <c r="U121" s="152"/>
      <c r="V121" s="153"/>
      <c r="W121" s="153"/>
      <c r="X121" s="153"/>
    </row>
    <row r="122" spans="1:24" s="154" customFormat="1" ht="11.25" customHeight="1">
      <c r="A122" s="52" t="s">
        <v>58</v>
      </c>
      <c r="B122" s="208" t="s">
        <v>42</v>
      </c>
      <c r="C122" s="209"/>
      <c r="D122" s="139">
        <v>40</v>
      </c>
      <c r="E122" s="140">
        <v>2.08</v>
      </c>
      <c r="F122" s="140">
        <f>2.64*D122/40</f>
        <v>2.64</v>
      </c>
      <c r="G122" s="140">
        <f>0.48*D122/40</f>
        <v>0.48</v>
      </c>
      <c r="H122" s="140">
        <f>13.68*D122/40</f>
        <v>13.680000000000001</v>
      </c>
      <c r="I122" s="140">
        <f>F122*4+G122*9+H122*4</f>
        <v>69.60000000000001</v>
      </c>
      <c r="J122" s="137">
        <f>0.08*D122/40</f>
        <v>0.08</v>
      </c>
      <c r="K122" s="140">
        <f>0.04*D122/40</f>
        <v>0.04</v>
      </c>
      <c r="L122" s="139">
        <v>0</v>
      </c>
      <c r="M122" s="139">
        <v>0</v>
      </c>
      <c r="N122" s="140">
        <f>2.4*D122/40</f>
        <v>2.4</v>
      </c>
      <c r="O122" s="140">
        <f>14*D122/40</f>
        <v>14</v>
      </c>
      <c r="P122" s="140">
        <f>63.2*D122/40</f>
        <v>63.2</v>
      </c>
      <c r="Q122" s="140">
        <f>1.2*D122/40</f>
        <v>1.2</v>
      </c>
      <c r="R122" s="141">
        <f>0.001*D122/40</f>
        <v>0.001</v>
      </c>
      <c r="S122" s="140">
        <f>9.4*D122/40</f>
        <v>9.4</v>
      </c>
      <c r="T122" s="137">
        <f>0.78*D122/40</f>
        <v>0.78</v>
      </c>
      <c r="U122" s="160"/>
      <c r="V122" s="161"/>
      <c r="W122" s="161"/>
      <c r="X122" s="161"/>
    </row>
    <row r="123" spans="1:24" s="73" customFormat="1" ht="11.25" customHeight="1">
      <c r="A123" s="144" t="s">
        <v>58</v>
      </c>
      <c r="B123" s="208" t="s">
        <v>47</v>
      </c>
      <c r="C123" s="209"/>
      <c r="D123" s="139">
        <v>30</v>
      </c>
      <c r="E123" s="140">
        <v>2.52</v>
      </c>
      <c r="F123" s="140">
        <f>1.52*D123/30</f>
        <v>1.52</v>
      </c>
      <c r="G123" s="141">
        <f>0.16*D123/30</f>
        <v>0.16</v>
      </c>
      <c r="H123" s="141">
        <f>9.84*D123/30</f>
        <v>9.84</v>
      </c>
      <c r="I123" s="141">
        <f>F123*4+G123*9+H123*4</f>
        <v>46.879999999999995</v>
      </c>
      <c r="J123" s="141">
        <f>0.02*D123/30</f>
        <v>0.02</v>
      </c>
      <c r="K123" s="141">
        <f>0.01*D123/30</f>
        <v>0.01</v>
      </c>
      <c r="L123" s="141">
        <f>0.44*D123/30</f>
        <v>0.44</v>
      </c>
      <c r="M123" s="141">
        <v>0</v>
      </c>
      <c r="N123" s="141">
        <f>0.7*D123/30</f>
        <v>0.7</v>
      </c>
      <c r="O123" s="141">
        <f>4*D123/30</f>
        <v>4</v>
      </c>
      <c r="P123" s="141">
        <f>13*D123/30</f>
        <v>13</v>
      </c>
      <c r="Q123" s="141">
        <f>0.008*D123/30</f>
        <v>0.008</v>
      </c>
      <c r="R123" s="141">
        <f>0.001*D123/30</f>
        <v>0.001</v>
      </c>
      <c r="S123" s="141">
        <v>0</v>
      </c>
      <c r="T123" s="141">
        <f>0.22*D123/30</f>
        <v>0.22</v>
      </c>
      <c r="U123" s="77"/>
      <c r="V123" s="78"/>
      <c r="W123" s="78"/>
      <c r="X123" s="78"/>
    </row>
    <row r="124" spans="1:24" s="1" customFormat="1" ht="11.25" customHeight="1">
      <c r="A124" s="45" t="s">
        <v>25</v>
      </c>
      <c r="B124" s="45"/>
      <c r="C124" s="45"/>
      <c r="D124" s="135">
        <f aca="true" t="shared" si="30" ref="D124:I124">SUM(D117:D123)</f>
        <v>900</v>
      </c>
      <c r="E124" s="150">
        <f t="shared" si="30"/>
        <v>94</v>
      </c>
      <c r="F124" s="127">
        <f t="shared" si="30"/>
        <v>32.24133333333333</v>
      </c>
      <c r="G124" s="127">
        <f t="shared" si="30"/>
        <v>32.69533333333333</v>
      </c>
      <c r="H124" s="127">
        <f t="shared" si="30"/>
        <v>92.64200000000001</v>
      </c>
      <c r="I124" s="126">
        <f t="shared" si="30"/>
        <v>793.7913333333333</v>
      </c>
      <c r="J124" s="127">
        <f aca="true" t="shared" si="31" ref="J124:S124">SUM(J117:J123)</f>
        <v>0.5386666666666666</v>
      </c>
      <c r="K124" s="127">
        <f t="shared" si="31"/>
        <v>0.43933333333333335</v>
      </c>
      <c r="L124" s="127">
        <f t="shared" si="31"/>
        <v>27.336000000000002</v>
      </c>
      <c r="M124" s="127">
        <f t="shared" si="31"/>
        <v>0.19791666666666669</v>
      </c>
      <c r="N124" s="127">
        <f t="shared" si="31"/>
        <v>5.6656666666666675</v>
      </c>
      <c r="O124" s="127">
        <f t="shared" si="31"/>
        <v>249.0005</v>
      </c>
      <c r="P124" s="127">
        <f t="shared" si="31"/>
        <v>311.2558333333333</v>
      </c>
      <c r="Q124" s="127">
        <f t="shared" si="31"/>
        <v>4.603466666666667</v>
      </c>
      <c r="R124" s="128">
        <f t="shared" si="31"/>
        <v>0.06286666666666667</v>
      </c>
      <c r="S124" s="127">
        <f t="shared" si="31"/>
        <v>116.5345</v>
      </c>
      <c r="T124" s="127">
        <f>SUM(T117:T123)</f>
        <v>5.3805</v>
      </c>
      <c r="U124" s="29"/>
      <c r="V124" s="74"/>
      <c r="W124" s="74"/>
      <c r="X124" s="74"/>
    </row>
    <row r="125" spans="1:25" s="1" customFormat="1" ht="11.25" customHeight="1">
      <c r="A125" s="201" t="s">
        <v>55</v>
      </c>
      <c r="B125" s="202"/>
      <c r="C125" s="202"/>
      <c r="D125" s="203"/>
      <c r="E125" s="180"/>
      <c r="F125" s="63">
        <f aca="true" t="shared" si="32" ref="F125:T125">F124/F132</f>
        <v>0.358237037037037</v>
      </c>
      <c r="G125" s="97">
        <f t="shared" si="32"/>
        <v>0.35538405797101447</v>
      </c>
      <c r="H125" s="97">
        <f t="shared" si="32"/>
        <v>0.2418851174934726</v>
      </c>
      <c r="I125" s="97">
        <f t="shared" si="32"/>
        <v>0.29183504901960783</v>
      </c>
      <c r="J125" s="97">
        <f t="shared" si="32"/>
        <v>0.38476190476190475</v>
      </c>
      <c r="K125" s="97">
        <f t="shared" si="32"/>
        <v>0.27458333333333335</v>
      </c>
      <c r="L125" s="97">
        <f t="shared" si="32"/>
        <v>0.39051428571428576</v>
      </c>
      <c r="M125" s="97">
        <f t="shared" si="32"/>
        <v>0.2199074074074074</v>
      </c>
      <c r="N125" s="97">
        <f t="shared" si="32"/>
        <v>0.47213888888888894</v>
      </c>
      <c r="O125" s="97">
        <f t="shared" si="32"/>
        <v>0.20750041666666666</v>
      </c>
      <c r="P125" s="97">
        <f t="shared" si="32"/>
        <v>0.2593798611111111</v>
      </c>
      <c r="Q125" s="97">
        <f t="shared" si="32"/>
        <v>0.3288190476190476</v>
      </c>
      <c r="R125" s="97">
        <f t="shared" si="32"/>
        <v>0.6286666666666666</v>
      </c>
      <c r="S125" s="97">
        <f t="shared" si="32"/>
        <v>0.38844833333333334</v>
      </c>
      <c r="T125" s="97">
        <f t="shared" si="32"/>
        <v>0.29891666666666666</v>
      </c>
      <c r="U125" s="76"/>
      <c r="V125" s="74"/>
      <c r="W125" s="74"/>
      <c r="X125" s="74"/>
      <c r="Y125" s="72"/>
    </row>
    <row r="126" spans="1:24" s="1" customFormat="1" ht="11.25" customHeight="1">
      <c r="A126" s="221" t="s">
        <v>26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9"/>
      <c r="V126" s="22"/>
      <c r="W126" s="22"/>
      <c r="X126" s="22"/>
    </row>
    <row r="127" spans="1:20" s="68" customFormat="1" ht="12" customHeight="1">
      <c r="A127" s="166"/>
      <c r="B127" s="223"/>
      <c r="C127" s="223"/>
      <c r="D127" s="163"/>
      <c r="E127" s="164"/>
      <c r="F127" s="164"/>
      <c r="G127" s="169"/>
      <c r="H127" s="169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</row>
    <row r="128" spans="1:20" s="68" customFormat="1" ht="13.5" customHeight="1">
      <c r="A128" s="87"/>
      <c r="B128" s="213"/>
      <c r="C128" s="213"/>
      <c r="D128" s="71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4" s="1" customFormat="1" ht="11.25" customHeight="1">
      <c r="A129" s="133" t="s">
        <v>27</v>
      </c>
      <c r="B129" s="134"/>
      <c r="C129" s="134"/>
      <c r="D129" s="135">
        <f aca="true" t="shared" si="33" ref="D129:T129">SUM(D127:D128)</f>
        <v>0</v>
      </c>
      <c r="E129" s="150">
        <f t="shared" si="33"/>
        <v>0</v>
      </c>
      <c r="F129" s="150">
        <f t="shared" si="33"/>
        <v>0</v>
      </c>
      <c r="G129" s="150">
        <f t="shared" si="33"/>
        <v>0</v>
      </c>
      <c r="H129" s="150">
        <f t="shared" si="33"/>
        <v>0</v>
      </c>
      <c r="I129" s="150">
        <f t="shared" si="33"/>
        <v>0</v>
      </c>
      <c r="J129" s="150">
        <f t="shared" si="33"/>
        <v>0</v>
      </c>
      <c r="K129" s="150">
        <f t="shared" si="33"/>
        <v>0</v>
      </c>
      <c r="L129" s="150">
        <f t="shared" si="33"/>
        <v>0</v>
      </c>
      <c r="M129" s="150">
        <f t="shared" si="33"/>
        <v>0</v>
      </c>
      <c r="N129" s="150">
        <f t="shared" si="33"/>
        <v>0</v>
      </c>
      <c r="O129" s="150">
        <f t="shared" si="33"/>
        <v>0</v>
      </c>
      <c r="P129" s="150">
        <f t="shared" si="33"/>
        <v>0</v>
      </c>
      <c r="Q129" s="150">
        <f t="shared" si="33"/>
        <v>0</v>
      </c>
      <c r="R129" s="150">
        <f t="shared" si="33"/>
        <v>0</v>
      </c>
      <c r="S129" s="150">
        <f t="shared" si="33"/>
        <v>0</v>
      </c>
      <c r="T129" s="150">
        <f t="shared" si="33"/>
        <v>0</v>
      </c>
      <c r="U129" s="29"/>
      <c r="V129" s="74"/>
      <c r="W129" s="74"/>
      <c r="X129" s="74"/>
    </row>
    <row r="130" spans="1:24" s="1" customFormat="1" ht="11.25" customHeight="1">
      <c r="A130" s="201" t="s">
        <v>55</v>
      </c>
      <c r="B130" s="202"/>
      <c r="C130" s="202"/>
      <c r="D130" s="203"/>
      <c r="E130" s="66"/>
      <c r="F130" s="92">
        <f>F129/F132</f>
        <v>0</v>
      </c>
      <c r="G130" s="97">
        <f aca="true" t="shared" si="34" ref="G130:T130">G129/G132</f>
        <v>0</v>
      </c>
      <c r="H130" s="97">
        <f t="shared" si="34"/>
        <v>0</v>
      </c>
      <c r="I130" s="97">
        <f t="shared" si="34"/>
        <v>0</v>
      </c>
      <c r="J130" s="97">
        <f t="shared" si="34"/>
        <v>0</v>
      </c>
      <c r="K130" s="97">
        <f t="shared" si="34"/>
        <v>0</v>
      </c>
      <c r="L130" s="97">
        <f t="shared" si="34"/>
        <v>0</v>
      </c>
      <c r="M130" s="97">
        <f t="shared" si="34"/>
        <v>0</v>
      </c>
      <c r="N130" s="97">
        <f t="shared" si="34"/>
        <v>0</v>
      </c>
      <c r="O130" s="97">
        <f t="shared" si="34"/>
        <v>0</v>
      </c>
      <c r="P130" s="97">
        <f t="shared" si="34"/>
        <v>0</v>
      </c>
      <c r="Q130" s="97">
        <f t="shared" si="34"/>
        <v>0</v>
      </c>
      <c r="R130" s="97">
        <f t="shared" si="34"/>
        <v>0</v>
      </c>
      <c r="S130" s="97">
        <f t="shared" si="34"/>
        <v>0</v>
      </c>
      <c r="T130" s="97">
        <f t="shared" si="34"/>
        <v>0</v>
      </c>
      <c r="U130" s="76"/>
      <c r="V130" s="74"/>
      <c r="W130" s="74"/>
      <c r="X130" s="74"/>
    </row>
    <row r="131" spans="1:24" s="1" customFormat="1" ht="11.25" customHeight="1">
      <c r="A131" s="133" t="s">
        <v>54</v>
      </c>
      <c r="B131" s="134"/>
      <c r="C131" s="134"/>
      <c r="D131" s="61">
        <f>D124+D114</f>
        <v>1505</v>
      </c>
      <c r="E131" s="151">
        <f>E124+E114</f>
        <v>167</v>
      </c>
      <c r="F131" s="127">
        <f aca="true" t="shared" si="35" ref="F131:T131">SUM(F114,F124,F129)</f>
        <v>49.346333333333334</v>
      </c>
      <c r="G131" s="126">
        <f t="shared" si="35"/>
        <v>57.435333333333325</v>
      </c>
      <c r="H131" s="126">
        <f t="shared" si="35"/>
        <v>195.39700000000002</v>
      </c>
      <c r="I131" s="126">
        <f t="shared" si="35"/>
        <v>1495.9513333333334</v>
      </c>
      <c r="J131" s="127">
        <f t="shared" si="35"/>
        <v>0.7786666666666666</v>
      </c>
      <c r="K131" s="127">
        <f t="shared" si="35"/>
        <v>0.7793333333333334</v>
      </c>
      <c r="L131" s="127">
        <f t="shared" si="35"/>
        <v>45.039</v>
      </c>
      <c r="M131" s="127">
        <f t="shared" si="35"/>
        <v>0.3214166666666667</v>
      </c>
      <c r="N131" s="127">
        <f t="shared" si="35"/>
        <v>8.370666666666668</v>
      </c>
      <c r="O131" s="127">
        <f t="shared" si="35"/>
        <v>681.5505</v>
      </c>
      <c r="P131" s="126">
        <f t="shared" si="35"/>
        <v>718.2858333333334</v>
      </c>
      <c r="Q131" s="128">
        <f t="shared" si="35"/>
        <v>5.6584666666666665</v>
      </c>
      <c r="R131" s="128">
        <f t="shared" si="35"/>
        <v>0.11586666666666667</v>
      </c>
      <c r="S131" s="127">
        <f t="shared" si="35"/>
        <v>211.7745</v>
      </c>
      <c r="T131" s="127">
        <f t="shared" si="35"/>
        <v>10.6205</v>
      </c>
      <c r="U131" s="31"/>
      <c r="V131" s="74"/>
      <c r="W131" s="74"/>
      <c r="X131" s="74"/>
    </row>
    <row r="132" spans="1:24" s="1" customFormat="1" ht="11.25" customHeight="1">
      <c r="A132" s="201" t="s">
        <v>56</v>
      </c>
      <c r="B132" s="202"/>
      <c r="C132" s="202"/>
      <c r="D132" s="203"/>
      <c r="E132" s="180"/>
      <c r="F132" s="140">
        <v>90</v>
      </c>
      <c r="G132" s="138">
        <v>92</v>
      </c>
      <c r="H132" s="138">
        <v>383</v>
      </c>
      <c r="I132" s="138">
        <v>2720</v>
      </c>
      <c r="J132" s="140">
        <v>1.4</v>
      </c>
      <c r="K132" s="140">
        <v>1.6</v>
      </c>
      <c r="L132" s="139">
        <v>70</v>
      </c>
      <c r="M132" s="140">
        <v>0.9</v>
      </c>
      <c r="N132" s="139">
        <v>12</v>
      </c>
      <c r="O132" s="139">
        <v>1200</v>
      </c>
      <c r="P132" s="139">
        <v>1200</v>
      </c>
      <c r="Q132" s="139">
        <v>14</v>
      </c>
      <c r="R132" s="138">
        <v>0.1</v>
      </c>
      <c r="S132" s="139">
        <v>300</v>
      </c>
      <c r="T132" s="140">
        <v>18</v>
      </c>
      <c r="U132" s="77"/>
      <c r="V132" s="78"/>
      <c r="W132" s="78"/>
      <c r="X132" s="78"/>
    </row>
    <row r="133" spans="1:24" s="1" customFormat="1" ht="11.25" customHeight="1">
      <c r="A133" s="201" t="s">
        <v>55</v>
      </c>
      <c r="B133" s="202"/>
      <c r="C133" s="202"/>
      <c r="D133" s="203"/>
      <c r="E133" s="180"/>
      <c r="F133" s="51">
        <f aca="true" t="shared" si="36" ref="F133:T133">F131/F132</f>
        <v>0.5482925925925926</v>
      </c>
      <c r="G133" s="97">
        <f t="shared" si="36"/>
        <v>0.6242971014492753</v>
      </c>
      <c r="H133" s="130">
        <f t="shared" si="36"/>
        <v>0.5101749347258486</v>
      </c>
      <c r="I133" s="130">
        <f t="shared" si="36"/>
        <v>0.5499821078431373</v>
      </c>
      <c r="J133" s="130">
        <f t="shared" si="36"/>
        <v>0.5561904761904762</v>
      </c>
      <c r="K133" s="130">
        <f t="shared" si="36"/>
        <v>0.48708333333333337</v>
      </c>
      <c r="L133" s="130">
        <f t="shared" si="36"/>
        <v>0.6434142857142857</v>
      </c>
      <c r="M133" s="33">
        <f t="shared" si="36"/>
        <v>0.35712962962962963</v>
      </c>
      <c r="N133" s="130">
        <f t="shared" si="36"/>
        <v>0.6975555555555557</v>
      </c>
      <c r="O133" s="130">
        <f t="shared" si="36"/>
        <v>0.5679587500000001</v>
      </c>
      <c r="P133" s="130">
        <f t="shared" si="36"/>
        <v>0.5985715277777778</v>
      </c>
      <c r="Q133" s="130">
        <f t="shared" si="36"/>
        <v>0.40417619047619047</v>
      </c>
      <c r="R133" s="130">
        <f>R131/R132</f>
        <v>1.1586666666666667</v>
      </c>
      <c r="S133" s="130">
        <f t="shared" si="36"/>
        <v>0.705915</v>
      </c>
      <c r="T133" s="33">
        <f t="shared" si="36"/>
        <v>0.5900277777777778</v>
      </c>
      <c r="U133" s="34"/>
      <c r="V133" s="35"/>
      <c r="W133" s="35"/>
      <c r="X133" s="35"/>
    </row>
    <row r="134" spans="1:24" s="1" customFormat="1" ht="11.25" customHeight="1">
      <c r="A134" s="41"/>
      <c r="B134" s="41"/>
      <c r="C134" s="181"/>
      <c r="D134" s="181"/>
      <c r="E134" s="181"/>
      <c r="F134" s="59"/>
      <c r="G134" s="121"/>
      <c r="H134" s="2"/>
      <c r="I134" s="2"/>
      <c r="J134" s="121"/>
      <c r="K134" s="121"/>
      <c r="L134" s="121"/>
      <c r="M134" s="220" t="s">
        <v>57</v>
      </c>
      <c r="N134" s="220"/>
      <c r="O134" s="220"/>
      <c r="P134" s="220"/>
      <c r="Q134" s="220"/>
      <c r="R134" s="220"/>
      <c r="S134" s="220"/>
      <c r="T134" s="220"/>
      <c r="U134" s="10"/>
      <c r="V134" s="17"/>
      <c r="W134" s="17"/>
      <c r="X134" s="17"/>
    </row>
    <row r="135" spans="1:24" s="1" customFormat="1" ht="11.25" customHeight="1">
      <c r="A135" s="41"/>
      <c r="B135" s="41"/>
      <c r="C135" s="181"/>
      <c r="D135" s="181"/>
      <c r="E135" s="181"/>
      <c r="F135" s="59"/>
      <c r="G135" s="121"/>
      <c r="H135" s="2"/>
      <c r="I135" s="2"/>
      <c r="J135" s="121"/>
      <c r="K135" s="121"/>
      <c r="L135" s="121"/>
      <c r="M135" s="184"/>
      <c r="N135" s="184"/>
      <c r="O135" s="184"/>
      <c r="P135" s="184"/>
      <c r="Q135" s="184"/>
      <c r="R135" s="184"/>
      <c r="S135" s="184"/>
      <c r="T135" s="184"/>
      <c r="U135" s="10"/>
      <c r="V135" s="17"/>
      <c r="W135" s="17"/>
      <c r="X135" s="17"/>
    </row>
    <row r="136" spans="1:24" s="1" customFormat="1" ht="11.25" customHeight="1">
      <c r="A136" s="222" t="s">
        <v>34</v>
      </c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11"/>
      <c r="V136" s="23"/>
      <c r="W136" s="23"/>
      <c r="X136" s="23"/>
    </row>
    <row r="137" spans="1:24" s="1" customFormat="1" ht="11.25" customHeight="1">
      <c r="A137" s="43" t="s">
        <v>48</v>
      </c>
      <c r="B137" s="41"/>
      <c r="C137" s="41"/>
      <c r="D137" s="2"/>
      <c r="E137" s="2"/>
      <c r="F137" s="119"/>
      <c r="G137" s="196" t="s">
        <v>35</v>
      </c>
      <c r="H137" s="196"/>
      <c r="I137" s="196"/>
      <c r="J137" s="121"/>
      <c r="K137" s="121"/>
      <c r="L137" s="215" t="s">
        <v>1</v>
      </c>
      <c r="M137" s="215"/>
      <c r="N137" s="214" t="str">
        <f>N103</f>
        <v>весенне-летний</v>
      </c>
      <c r="O137" s="214"/>
      <c r="P137" s="214"/>
      <c r="Q137" s="214"/>
      <c r="R137" s="121"/>
      <c r="S137" s="121"/>
      <c r="T137" s="121"/>
      <c r="U137" s="12"/>
      <c r="V137" s="18"/>
      <c r="W137" s="18"/>
      <c r="X137" s="18"/>
    </row>
    <row r="138" spans="1:24" s="1" customFormat="1" ht="11.25" customHeight="1">
      <c r="A138" s="41"/>
      <c r="B138" s="41"/>
      <c r="C138" s="41"/>
      <c r="D138" s="229" t="s">
        <v>2</v>
      </c>
      <c r="E138" s="229"/>
      <c r="F138" s="229"/>
      <c r="G138" s="5">
        <v>1</v>
      </c>
      <c r="H138" s="121"/>
      <c r="I138" s="2"/>
      <c r="J138" s="2"/>
      <c r="K138" s="2"/>
      <c r="L138" s="229" t="s">
        <v>3</v>
      </c>
      <c r="M138" s="229"/>
      <c r="N138" s="196" t="str">
        <f>N104</f>
        <v>с 7-11 лет;12 и старше</v>
      </c>
      <c r="O138" s="196"/>
      <c r="P138" s="196"/>
      <c r="Q138" s="196"/>
      <c r="R138" s="196"/>
      <c r="S138" s="196"/>
      <c r="T138" s="196"/>
      <c r="U138" s="13"/>
      <c r="V138" s="19"/>
      <c r="W138" s="19"/>
      <c r="X138" s="19"/>
    </row>
    <row r="139" spans="1:24" s="1" customFormat="1" ht="21.75" customHeight="1">
      <c r="A139" s="216" t="s">
        <v>4</v>
      </c>
      <c r="B139" s="197" t="s">
        <v>5</v>
      </c>
      <c r="C139" s="198"/>
      <c r="D139" s="216" t="s">
        <v>6</v>
      </c>
      <c r="E139" s="178"/>
      <c r="F139" s="204" t="s">
        <v>7</v>
      </c>
      <c r="G139" s="205"/>
      <c r="H139" s="206"/>
      <c r="I139" s="216" t="s">
        <v>8</v>
      </c>
      <c r="J139" s="204" t="s">
        <v>9</v>
      </c>
      <c r="K139" s="205"/>
      <c r="L139" s="205"/>
      <c r="M139" s="205"/>
      <c r="N139" s="206"/>
      <c r="O139" s="204" t="s">
        <v>10</v>
      </c>
      <c r="P139" s="205"/>
      <c r="Q139" s="205"/>
      <c r="R139" s="205"/>
      <c r="S139" s="205"/>
      <c r="T139" s="206"/>
      <c r="U139" s="7"/>
      <c r="V139" s="20"/>
      <c r="W139" s="20"/>
      <c r="X139" s="20"/>
    </row>
    <row r="140" spans="1:24" s="1" customFormat="1" ht="21" customHeight="1">
      <c r="A140" s="217"/>
      <c r="B140" s="199"/>
      <c r="C140" s="200"/>
      <c r="D140" s="217"/>
      <c r="E140" s="177"/>
      <c r="F140" s="57" t="s">
        <v>11</v>
      </c>
      <c r="G140" s="182" t="s">
        <v>12</v>
      </c>
      <c r="H140" s="182" t="s">
        <v>13</v>
      </c>
      <c r="I140" s="217"/>
      <c r="J140" s="182" t="s">
        <v>14</v>
      </c>
      <c r="K140" s="182" t="s">
        <v>50</v>
      </c>
      <c r="L140" s="182" t="s">
        <v>15</v>
      </c>
      <c r="M140" s="182" t="s">
        <v>16</v>
      </c>
      <c r="N140" s="182" t="s">
        <v>17</v>
      </c>
      <c r="O140" s="182" t="s">
        <v>18</v>
      </c>
      <c r="P140" s="182" t="s">
        <v>19</v>
      </c>
      <c r="Q140" s="182" t="s">
        <v>51</v>
      </c>
      <c r="R140" s="182" t="s">
        <v>52</v>
      </c>
      <c r="S140" s="182" t="s">
        <v>20</v>
      </c>
      <c r="T140" s="182" t="s">
        <v>21</v>
      </c>
      <c r="U140" s="7"/>
      <c r="V140" s="20"/>
      <c r="W140" s="20"/>
      <c r="X140" s="20"/>
    </row>
    <row r="141" spans="1:24" s="1" customFormat="1" ht="11.25" customHeight="1">
      <c r="A141" s="183">
        <v>1</v>
      </c>
      <c r="B141" s="230">
        <v>2</v>
      </c>
      <c r="C141" s="231"/>
      <c r="D141" s="28">
        <v>3</v>
      </c>
      <c r="E141" s="28"/>
      <c r="F141" s="58">
        <v>4</v>
      </c>
      <c r="G141" s="28">
        <v>5</v>
      </c>
      <c r="H141" s="28">
        <v>6</v>
      </c>
      <c r="I141" s="28">
        <v>7</v>
      </c>
      <c r="J141" s="28">
        <v>8</v>
      </c>
      <c r="K141" s="28">
        <v>9</v>
      </c>
      <c r="L141" s="28">
        <v>10</v>
      </c>
      <c r="M141" s="28">
        <v>11</v>
      </c>
      <c r="N141" s="28">
        <v>12</v>
      </c>
      <c r="O141" s="28">
        <v>13</v>
      </c>
      <c r="P141" s="28">
        <v>14</v>
      </c>
      <c r="Q141" s="28">
        <v>15</v>
      </c>
      <c r="R141" s="28">
        <v>16</v>
      </c>
      <c r="S141" s="28">
        <v>17</v>
      </c>
      <c r="T141" s="28">
        <v>18</v>
      </c>
      <c r="U141" s="8"/>
      <c r="V141" s="21"/>
      <c r="W141" s="21"/>
      <c r="X141" s="21"/>
    </row>
    <row r="142" spans="1:24" s="1" customFormat="1" ht="11.25" customHeight="1">
      <c r="A142" s="245" t="s">
        <v>93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7"/>
      <c r="U142" s="9"/>
      <c r="V142" s="22"/>
      <c r="W142" s="22"/>
      <c r="X142" s="22"/>
    </row>
    <row r="143" spans="1:24" s="107" customFormat="1" ht="20.25" customHeight="1">
      <c r="A143" s="136">
        <v>71</v>
      </c>
      <c r="B143" s="208" t="s">
        <v>91</v>
      </c>
      <c r="C143" s="209"/>
      <c r="D143" s="145">
        <v>36</v>
      </c>
      <c r="E143" s="145">
        <v>9.95</v>
      </c>
      <c r="F143" s="173">
        <v>1.73</v>
      </c>
      <c r="G143" s="173">
        <v>3.71</v>
      </c>
      <c r="H143" s="173">
        <v>4.82</v>
      </c>
      <c r="I143" s="173">
        <v>59.58</v>
      </c>
      <c r="J143" s="146">
        <v>0.009</v>
      </c>
      <c r="K143" s="173">
        <v>0.01</v>
      </c>
      <c r="L143" s="147">
        <v>3</v>
      </c>
      <c r="M143" s="146">
        <v>0.003</v>
      </c>
      <c r="N143" s="145">
        <v>0.03</v>
      </c>
      <c r="O143" s="173">
        <v>6.9</v>
      </c>
      <c r="P143" s="173">
        <v>12.6</v>
      </c>
      <c r="Q143" s="146">
        <v>0.064</v>
      </c>
      <c r="R143" s="146">
        <v>0.001</v>
      </c>
      <c r="S143" s="173">
        <v>4.2</v>
      </c>
      <c r="T143" s="173">
        <v>0.18</v>
      </c>
      <c r="U143" s="108"/>
      <c r="V143" s="109"/>
      <c r="W143" s="109"/>
      <c r="X143" s="109"/>
    </row>
    <row r="144" spans="1:24" s="154" customFormat="1" ht="22.5" customHeight="1">
      <c r="A144" s="69">
        <v>591</v>
      </c>
      <c r="B144" s="232" t="s">
        <v>90</v>
      </c>
      <c r="C144" s="233"/>
      <c r="D144" s="70">
        <v>100</v>
      </c>
      <c r="E144" s="67">
        <v>47.99</v>
      </c>
      <c r="F144" s="67">
        <v>5.86</v>
      </c>
      <c r="G144" s="67">
        <v>16.31</v>
      </c>
      <c r="H144" s="67">
        <v>3.07</v>
      </c>
      <c r="I144" s="67">
        <v>182.51</v>
      </c>
      <c r="J144" s="67">
        <v>0.14</v>
      </c>
      <c r="K144" s="67">
        <v>0.05</v>
      </c>
      <c r="L144" s="67">
        <v>0.09</v>
      </c>
      <c r="M144" s="67">
        <v>0</v>
      </c>
      <c r="N144" s="67">
        <v>0</v>
      </c>
      <c r="O144" s="67">
        <v>9.54</v>
      </c>
      <c r="P144" s="67">
        <v>63.38</v>
      </c>
      <c r="Q144" s="67">
        <v>1.12</v>
      </c>
      <c r="R144" s="67">
        <v>2.55</v>
      </c>
      <c r="S144" s="67">
        <v>11.3</v>
      </c>
      <c r="T144" s="67">
        <v>0.75</v>
      </c>
      <c r="U144" s="152"/>
      <c r="V144" s="153"/>
      <c r="W144" s="153"/>
      <c r="X144" s="153"/>
    </row>
    <row r="145" spans="1:24" s="154" customFormat="1" ht="24" customHeight="1">
      <c r="A145" s="183">
        <v>304</v>
      </c>
      <c r="B145" s="212" t="s">
        <v>77</v>
      </c>
      <c r="C145" s="212"/>
      <c r="D145" s="139">
        <v>180</v>
      </c>
      <c r="E145" s="140">
        <v>8.73</v>
      </c>
      <c r="F145" s="140">
        <v>4.44</v>
      </c>
      <c r="G145" s="140">
        <v>6.44</v>
      </c>
      <c r="H145" s="140">
        <v>44.01</v>
      </c>
      <c r="I145" s="140">
        <v>251.82</v>
      </c>
      <c r="J145" s="140">
        <v>0.036</v>
      </c>
      <c r="K145" s="137">
        <v>0.024</v>
      </c>
      <c r="L145" s="140">
        <v>0</v>
      </c>
      <c r="M145" s="137">
        <v>0.048</v>
      </c>
      <c r="N145" s="138">
        <v>0</v>
      </c>
      <c r="O145" s="138">
        <v>17.93</v>
      </c>
      <c r="P145" s="139">
        <v>95.25</v>
      </c>
      <c r="Q145" s="120">
        <v>0</v>
      </c>
      <c r="R145" s="138">
        <v>0.001</v>
      </c>
      <c r="S145" s="140">
        <v>33.47</v>
      </c>
      <c r="T145" s="142">
        <v>0.708</v>
      </c>
      <c r="U145" s="153"/>
      <c r="V145" s="153"/>
      <c r="W145" s="153"/>
      <c r="X145" s="153"/>
    </row>
    <row r="146" spans="1:24" s="107" customFormat="1" ht="11.25" customHeight="1">
      <c r="A146" s="144" t="s">
        <v>58</v>
      </c>
      <c r="B146" s="208" t="s">
        <v>47</v>
      </c>
      <c r="C146" s="209"/>
      <c r="D146" s="139">
        <v>30</v>
      </c>
      <c r="E146" s="140">
        <v>2.52</v>
      </c>
      <c r="F146" s="140">
        <f>1.52*D146/30</f>
        <v>1.52</v>
      </c>
      <c r="G146" s="141">
        <f>0.16*D146/30</f>
        <v>0.16</v>
      </c>
      <c r="H146" s="141">
        <f>9.84*D146/30</f>
        <v>9.84</v>
      </c>
      <c r="I146" s="141">
        <f>F146*4+G146*9+H146*4</f>
        <v>46.879999999999995</v>
      </c>
      <c r="J146" s="141">
        <f>0.02*D146/30</f>
        <v>0.02</v>
      </c>
      <c r="K146" s="141">
        <f>0.01*D146/30</f>
        <v>0.01</v>
      </c>
      <c r="L146" s="141">
        <f>0.44*D146/30</f>
        <v>0.44</v>
      </c>
      <c r="M146" s="141">
        <v>0</v>
      </c>
      <c r="N146" s="141">
        <f>0.7*D146/30</f>
        <v>0.7</v>
      </c>
      <c r="O146" s="141">
        <f>4*D146/30</f>
        <v>4</v>
      </c>
      <c r="P146" s="141">
        <f>13*D146/30</f>
        <v>13</v>
      </c>
      <c r="Q146" s="141">
        <f>0.008*D146/30</f>
        <v>0.008</v>
      </c>
      <c r="R146" s="141">
        <f>0.001*D146/30</f>
        <v>0.001</v>
      </c>
      <c r="S146" s="141">
        <v>0</v>
      </c>
      <c r="T146" s="141">
        <f>0.22*D146/30</f>
        <v>0.22</v>
      </c>
      <c r="U146" s="110"/>
      <c r="V146" s="111"/>
      <c r="W146" s="111"/>
      <c r="X146" s="111"/>
    </row>
    <row r="147" spans="1:24" s="107" customFormat="1" ht="12.75" customHeight="1">
      <c r="A147" s="183">
        <v>377</v>
      </c>
      <c r="B147" s="212" t="s">
        <v>41</v>
      </c>
      <c r="C147" s="212"/>
      <c r="D147" s="139">
        <v>200</v>
      </c>
      <c r="E147" s="140">
        <v>3.81</v>
      </c>
      <c r="F147" s="140">
        <v>0.26</v>
      </c>
      <c r="G147" s="140">
        <v>0.06</v>
      </c>
      <c r="H147" s="140">
        <v>15.22</v>
      </c>
      <c r="I147" s="140">
        <f>F147*4+G147*9+H147*4</f>
        <v>62.46</v>
      </c>
      <c r="J147" s="140"/>
      <c r="K147" s="140">
        <v>0.01</v>
      </c>
      <c r="L147" s="140">
        <v>2.9</v>
      </c>
      <c r="M147" s="137">
        <v>0</v>
      </c>
      <c r="N147" s="140">
        <v>0.06</v>
      </c>
      <c r="O147" s="140">
        <v>8.05</v>
      </c>
      <c r="P147" s="140">
        <v>9.78</v>
      </c>
      <c r="Q147" s="140">
        <v>0.017</v>
      </c>
      <c r="R147" s="141">
        <v>0</v>
      </c>
      <c r="S147" s="140">
        <v>5.24</v>
      </c>
      <c r="T147" s="140">
        <v>0.87</v>
      </c>
      <c r="U147" s="110"/>
      <c r="V147" s="111"/>
      <c r="W147" s="111"/>
      <c r="X147" s="111"/>
    </row>
    <row r="148" spans="1:24" s="121" customFormat="1" ht="12.75" customHeight="1">
      <c r="A148" s="69" t="s">
        <v>58</v>
      </c>
      <c r="B148" s="193" t="s">
        <v>86</v>
      </c>
      <c r="C148" s="193"/>
      <c r="D148" s="70">
        <v>200</v>
      </c>
      <c r="E148" s="86"/>
      <c r="F148" s="165">
        <v>5.6</v>
      </c>
      <c r="G148" s="165">
        <v>6.4</v>
      </c>
      <c r="H148" s="165">
        <v>9.4</v>
      </c>
      <c r="I148" s="165">
        <v>117.6</v>
      </c>
      <c r="J148" s="165">
        <v>0.08</v>
      </c>
      <c r="K148" s="165">
        <v>0.307</v>
      </c>
      <c r="L148" s="165">
        <v>2.6</v>
      </c>
      <c r="M148" s="165">
        <v>0.067</v>
      </c>
      <c r="N148" s="165">
        <v>0.292</v>
      </c>
      <c r="O148" s="165">
        <v>240</v>
      </c>
      <c r="P148" s="165">
        <v>180</v>
      </c>
      <c r="Q148" s="165">
        <v>0.8</v>
      </c>
      <c r="R148" s="165">
        <v>0.018</v>
      </c>
      <c r="S148" s="165">
        <v>28</v>
      </c>
      <c r="T148" s="165">
        <v>0.12</v>
      </c>
      <c r="U148" s="142"/>
      <c r="V148" s="143"/>
      <c r="W148" s="143"/>
      <c r="X148" s="143"/>
    </row>
    <row r="149" spans="1:24" s="3" customFormat="1" ht="11.25" customHeight="1">
      <c r="A149" s="133" t="s">
        <v>23</v>
      </c>
      <c r="B149" s="134"/>
      <c r="C149" s="134"/>
      <c r="D149" s="135">
        <f aca="true" t="shared" si="37" ref="D149:T149">SUM(D143:D147)</f>
        <v>546</v>
      </c>
      <c r="E149" s="150">
        <f t="shared" si="37"/>
        <v>73</v>
      </c>
      <c r="F149" s="127">
        <f t="shared" si="37"/>
        <v>13.81</v>
      </c>
      <c r="G149" s="127">
        <f t="shared" si="37"/>
        <v>26.68</v>
      </c>
      <c r="H149" s="127">
        <f t="shared" si="37"/>
        <v>76.96</v>
      </c>
      <c r="I149" s="127">
        <f t="shared" si="37"/>
        <v>603.25</v>
      </c>
      <c r="J149" s="127">
        <f t="shared" si="37"/>
        <v>0.20500000000000002</v>
      </c>
      <c r="K149" s="127">
        <f t="shared" si="37"/>
        <v>0.104</v>
      </c>
      <c r="L149" s="127">
        <f t="shared" si="37"/>
        <v>6.43</v>
      </c>
      <c r="M149" s="127">
        <f t="shared" si="37"/>
        <v>0.051000000000000004</v>
      </c>
      <c r="N149" s="127">
        <f t="shared" si="37"/>
        <v>0.79</v>
      </c>
      <c r="O149" s="127">
        <f t="shared" si="37"/>
        <v>46.42</v>
      </c>
      <c r="P149" s="127">
        <f t="shared" si="37"/>
        <v>194.01000000000002</v>
      </c>
      <c r="Q149" s="127">
        <f t="shared" si="37"/>
        <v>1.209</v>
      </c>
      <c r="R149" s="127">
        <f t="shared" si="37"/>
        <v>2.5529999999999995</v>
      </c>
      <c r="S149" s="127">
        <f t="shared" si="37"/>
        <v>54.21</v>
      </c>
      <c r="T149" s="127">
        <f t="shared" si="37"/>
        <v>2.7279999999999998</v>
      </c>
      <c r="U149" s="29"/>
      <c r="V149" s="30"/>
      <c r="W149" s="30"/>
      <c r="X149" s="30"/>
    </row>
    <row r="150" spans="1:24" s="3" customFormat="1" ht="11.25" customHeight="1">
      <c r="A150" s="225" t="s">
        <v>55</v>
      </c>
      <c r="B150" s="226"/>
      <c r="C150" s="226"/>
      <c r="D150" s="227"/>
      <c r="E150" s="174"/>
      <c r="F150" s="148">
        <f aca="true" t="shared" si="38" ref="F150:T150">F149/F167</f>
        <v>0.15344444444444444</v>
      </c>
      <c r="G150" s="51">
        <f t="shared" si="38"/>
        <v>0.29</v>
      </c>
      <c r="H150" s="51">
        <f t="shared" si="38"/>
        <v>0.20093994778067883</v>
      </c>
      <c r="I150" s="51">
        <f t="shared" si="38"/>
        <v>0.2217830882352941</v>
      </c>
      <c r="J150" s="51">
        <f t="shared" si="38"/>
        <v>0.14642857142857144</v>
      </c>
      <c r="K150" s="51">
        <f t="shared" si="38"/>
        <v>0.06499999999999999</v>
      </c>
      <c r="L150" s="51">
        <f t="shared" si="38"/>
        <v>0.09185714285714286</v>
      </c>
      <c r="M150" s="51">
        <f t="shared" si="38"/>
        <v>0.05666666666666667</v>
      </c>
      <c r="N150" s="51">
        <f t="shared" si="38"/>
        <v>0.06583333333333334</v>
      </c>
      <c r="O150" s="51">
        <f t="shared" si="38"/>
        <v>0.03868333333333333</v>
      </c>
      <c r="P150" s="51">
        <f t="shared" si="38"/>
        <v>0.161675</v>
      </c>
      <c r="Q150" s="51">
        <f t="shared" si="38"/>
        <v>0.08635714285714287</v>
      </c>
      <c r="R150" s="51">
        <f t="shared" si="38"/>
        <v>25.529999999999994</v>
      </c>
      <c r="S150" s="51">
        <f t="shared" si="38"/>
        <v>0.1807</v>
      </c>
      <c r="T150" s="130">
        <f t="shared" si="38"/>
        <v>0.15155555555555555</v>
      </c>
      <c r="U150" s="36"/>
      <c r="V150" s="30"/>
      <c r="W150" s="30"/>
      <c r="X150" s="30"/>
    </row>
    <row r="151" spans="1:24" s="3" customFormat="1" ht="11.25" customHeight="1">
      <c r="A151" s="245" t="s">
        <v>24</v>
      </c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7"/>
      <c r="U151" s="9"/>
      <c r="V151" s="22"/>
      <c r="W151" s="22"/>
      <c r="X151" s="22"/>
    </row>
    <row r="152" spans="1:24" s="154" customFormat="1" ht="13.5" customHeight="1">
      <c r="A152" s="183">
        <v>49</v>
      </c>
      <c r="B152" s="208" t="s">
        <v>85</v>
      </c>
      <c r="C152" s="209"/>
      <c r="D152" s="137">
        <v>100</v>
      </c>
      <c r="E152" s="137">
        <v>11.29</v>
      </c>
      <c r="F152" s="140">
        <v>1.56</v>
      </c>
      <c r="G152" s="140">
        <v>12.03</v>
      </c>
      <c r="H152" s="140">
        <v>8.78</v>
      </c>
      <c r="I152" s="140">
        <v>149.7</v>
      </c>
      <c r="J152" s="141">
        <v>0.05</v>
      </c>
      <c r="K152" s="141">
        <v>0.05</v>
      </c>
      <c r="L152" s="140">
        <v>20.66</v>
      </c>
      <c r="M152" s="140">
        <v>0.002</v>
      </c>
      <c r="N152" s="137">
        <v>2.5</v>
      </c>
      <c r="O152" s="138">
        <v>32.83</v>
      </c>
      <c r="P152" s="138">
        <v>33.85</v>
      </c>
      <c r="Q152" s="140">
        <v>0.5</v>
      </c>
      <c r="R152" s="141">
        <v>0.002</v>
      </c>
      <c r="S152" s="140">
        <v>16.63</v>
      </c>
      <c r="T152" s="140">
        <v>0.56</v>
      </c>
      <c r="U152" s="152"/>
      <c r="V152" s="153"/>
      <c r="W152" s="153"/>
      <c r="X152" s="153"/>
    </row>
    <row r="153" spans="1:24" s="48" customFormat="1" ht="21.75" customHeight="1">
      <c r="A153" s="183">
        <v>106</v>
      </c>
      <c r="B153" s="210" t="s">
        <v>78</v>
      </c>
      <c r="C153" s="211"/>
      <c r="D153" s="137">
        <v>250</v>
      </c>
      <c r="E153" s="137">
        <v>12.12</v>
      </c>
      <c r="F153" s="140">
        <v>8.61</v>
      </c>
      <c r="G153" s="140">
        <v>8.4</v>
      </c>
      <c r="H153" s="140">
        <v>14.34</v>
      </c>
      <c r="I153" s="140">
        <v>167.25</v>
      </c>
      <c r="J153" s="140">
        <v>0.1</v>
      </c>
      <c r="K153" s="140">
        <v>0</v>
      </c>
      <c r="L153" s="140">
        <v>9.11</v>
      </c>
      <c r="M153" s="140">
        <v>15</v>
      </c>
      <c r="N153" s="141">
        <v>0</v>
      </c>
      <c r="O153" s="140">
        <v>45.3</v>
      </c>
      <c r="P153" s="140">
        <v>176.53</v>
      </c>
      <c r="Q153" s="140">
        <v>0</v>
      </c>
      <c r="R153" s="140">
        <v>0</v>
      </c>
      <c r="S153" s="140">
        <v>47.35</v>
      </c>
      <c r="T153" s="140">
        <v>1.26</v>
      </c>
      <c r="U153" s="49"/>
      <c r="V153" s="50"/>
      <c r="W153" s="50"/>
      <c r="X153" s="50"/>
    </row>
    <row r="154" spans="1:25" s="73" customFormat="1" ht="23.25" customHeight="1">
      <c r="A154" s="183">
        <v>268</v>
      </c>
      <c r="B154" s="208" t="s">
        <v>115</v>
      </c>
      <c r="C154" s="209"/>
      <c r="D154" s="139">
        <v>100</v>
      </c>
      <c r="E154" s="140">
        <v>46.19</v>
      </c>
      <c r="F154" s="140">
        <v>16.82</v>
      </c>
      <c r="G154" s="138">
        <v>13.57</v>
      </c>
      <c r="H154" s="138">
        <v>6.67</v>
      </c>
      <c r="I154" s="140">
        <v>216.18</v>
      </c>
      <c r="J154" s="140">
        <v>0.08</v>
      </c>
      <c r="K154" s="140">
        <v>0.28</v>
      </c>
      <c r="L154" s="140">
        <v>0.93</v>
      </c>
      <c r="M154" s="137">
        <v>0.25</v>
      </c>
      <c r="N154" s="141">
        <v>0.026</v>
      </c>
      <c r="O154" s="140">
        <v>92.17</v>
      </c>
      <c r="P154" s="138">
        <v>231.026</v>
      </c>
      <c r="Q154" s="140">
        <v>2.85</v>
      </c>
      <c r="R154" s="141">
        <v>0.038</v>
      </c>
      <c r="S154" s="140">
        <v>37.32</v>
      </c>
      <c r="T154" s="140">
        <v>2.41</v>
      </c>
      <c r="U154" s="104"/>
      <c r="V154" s="105"/>
      <c r="W154" s="105"/>
      <c r="X154" s="105"/>
      <c r="Y154" s="99"/>
    </row>
    <row r="155" spans="1:24" s="154" customFormat="1" ht="12.75" customHeight="1">
      <c r="A155" s="144">
        <v>171</v>
      </c>
      <c r="B155" s="208" t="s">
        <v>22</v>
      </c>
      <c r="C155" s="209"/>
      <c r="D155" s="139">
        <v>180</v>
      </c>
      <c r="E155" s="140">
        <v>14.6</v>
      </c>
      <c r="F155" s="140">
        <f>6.57*D155/150</f>
        <v>7.884000000000001</v>
      </c>
      <c r="G155" s="140">
        <f>4.19*D155/150</f>
        <v>5.0280000000000005</v>
      </c>
      <c r="H155" s="140">
        <f>32.32*D155/150</f>
        <v>38.784</v>
      </c>
      <c r="I155" s="140">
        <f>F155*4+G155*9+H155*4</f>
        <v>231.924</v>
      </c>
      <c r="J155" s="141">
        <f>0.06*D155/150</f>
        <v>0.072</v>
      </c>
      <c r="K155" s="141">
        <f>0.03*D155/150</f>
        <v>0.036</v>
      </c>
      <c r="L155" s="137">
        <v>0</v>
      </c>
      <c r="M155" s="141">
        <f>0.03*D155/150</f>
        <v>0.036</v>
      </c>
      <c r="N155" s="137">
        <f>2.55*D155/150</f>
        <v>3.0599999999999996</v>
      </c>
      <c r="O155" s="140">
        <f>18.12*D155/150</f>
        <v>21.744000000000003</v>
      </c>
      <c r="P155" s="140">
        <f>157.03*D155/150</f>
        <v>188.436</v>
      </c>
      <c r="Q155" s="141">
        <f>0.8874*D155/150</f>
        <v>1.06488</v>
      </c>
      <c r="R155" s="141">
        <f>0.00135*D155/150</f>
        <v>0.0016200000000000001</v>
      </c>
      <c r="S155" s="140">
        <f>104.45*D155/150</f>
        <v>125.34</v>
      </c>
      <c r="T155" s="140">
        <f>3.55*D155/150</f>
        <v>4.26</v>
      </c>
      <c r="U155" s="152"/>
      <c r="V155" s="153"/>
      <c r="W155" s="153"/>
      <c r="X155" s="153"/>
    </row>
    <row r="156" spans="1:20" s="158" customFormat="1" ht="11.25">
      <c r="A156" s="90">
        <v>699</v>
      </c>
      <c r="B156" s="248" t="s">
        <v>88</v>
      </c>
      <c r="C156" s="249"/>
      <c r="D156" s="80">
        <v>200</v>
      </c>
      <c r="E156" s="81">
        <v>5.2</v>
      </c>
      <c r="F156" s="81">
        <v>0.1</v>
      </c>
      <c r="G156" s="82">
        <v>0</v>
      </c>
      <c r="H156" s="83">
        <v>15.7</v>
      </c>
      <c r="I156" s="81">
        <v>63.2</v>
      </c>
      <c r="J156" s="82">
        <v>0.018</v>
      </c>
      <c r="K156" s="82">
        <v>0.012</v>
      </c>
      <c r="L156" s="83">
        <v>8</v>
      </c>
      <c r="M156" s="82">
        <v>0</v>
      </c>
      <c r="N156" s="81">
        <v>0.2</v>
      </c>
      <c r="O156" s="81">
        <v>10.8</v>
      </c>
      <c r="P156" s="81">
        <v>1.7</v>
      </c>
      <c r="Q156" s="81">
        <v>0</v>
      </c>
      <c r="R156" s="84">
        <v>0</v>
      </c>
      <c r="S156" s="81">
        <v>5.8</v>
      </c>
      <c r="T156" s="81">
        <v>1.6</v>
      </c>
    </row>
    <row r="157" spans="1:24" s="154" customFormat="1" ht="11.25" customHeight="1">
      <c r="A157" s="52" t="s">
        <v>58</v>
      </c>
      <c r="B157" s="208" t="s">
        <v>42</v>
      </c>
      <c r="C157" s="209"/>
      <c r="D157" s="139">
        <v>40</v>
      </c>
      <c r="E157" s="140">
        <v>2.08</v>
      </c>
      <c r="F157" s="140">
        <f>2.64*D157/40</f>
        <v>2.64</v>
      </c>
      <c r="G157" s="140">
        <f>0.48*D157/40</f>
        <v>0.48</v>
      </c>
      <c r="H157" s="140">
        <f>13.68*D157/40</f>
        <v>13.680000000000001</v>
      </c>
      <c r="I157" s="138">
        <f>F157*4+G157*9+H157*4</f>
        <v>69.60000000000001</v>
      </c>
      <c r="J157" s="137">
        <f>0.08*D157/40</f>
        <v>0.08</v>
      </c>
      <c r="K157" s="140">
        <f>0.04*D157/40</f>
        <v>0.04</v>
      </c>
      <c r="L157" s="139">
        <v>0</v>
      </c>
      <c r="M157" s="139">
        <v>0</v>
      </c>
      <c r="N157" s="140">
        <f>2.4*D157/40</f>
        <v>2.4</v>
      </c>
      <c r="O157" s="140">
        <f>14*D157/40</f>
        <v>14</v>
      </c>
      <c r="P157" s="140">
        <f>63.2*D157/40</f>
        <v>63.2</v>
      </c>
      <c r="Q157" s="140">
        <f>1.2*D157/40</f>
        <v>1.2</v>
      </c>
      <c r="R157" s="141">
        <f>0.001*D157/40</f>
        <v>0.001</v>
      </c>
      <c r="S157" s="140">
        <f>9.4*D157/40</f>
        <v>9.4</v>
      </c>
      <c r="T157" s="137">
        <f>0.78*D157/40</f>
        <v>0.78</v>
      </c>
      <c r="U157" s="160"/>
      <c r="V157" s="161"/>
      <c r="W157" s="161"/>
      <c r="X157" s="161"/>
    </row>
    <row r="158" spans="1:24" s="3" customFormat="1" ht="11.25" customHeight="1">
      <c r="A158" s="144" t="s">
        <v>58</v>
      </c>
      <c r="B158" s="208" t="s">
        <v>47</v>
      </c>
      <c r="C158" s="209"/>
      <c r="D158" s="139">
        <v>30</v>
      </c>
      <c r="E158" s="140">
        <v>2.52</v>
      </c>
      <c r="F158" s="140">
        <f>1.52*D158/30</f>
        <v>1.52</v>
      </c>
      <c r="G158" s="141">
        <f>0.16*D158/30</f>
        <v>0.16</v>
      </c>
      <c r="H158" s="141">
        <f>9.84*D158/30</f>
        <v>9.84</v>
      </c>
      <c r="I158" s="141">
        <f>F158*4+G158*9+H158*4</f>
        <v>46.879999999999995</v>
      </c>
      <c r="J158" s="141">
        <f>0.02*D158/30</f>
        <v>0.02</v>
      </c>
      <c r="K158" s="141">
        <f>0.01*D158/30</f>
        <v>0.01</v>
      </c>
      <c r="L158" s="141">
        <f>0.44*D158/30</f>
        <v>0.44</v>
      </c>
      <c r="M158" s="141">
        <v>0</v>
      </c>
      <c r="N158" s="141">
        <f>0.7*D158/30</f>
        <v>0.7</v>
      </c>
      <c r="O158" s="141">
        <f>4*D158/30</f>
        <v>4</v>
      </c>
      <c r="P158" s="141">
        <f>13*D158/30</f>
        <v>13</v>
      </c>
      <c r="Q158" s="141">
        <f>0.008*D158/30</f>
        <v>0.008</v>
      </c>
      <c r="R158" s="141">
        <f>0.001*D158/30</f>
        <v>0.001</v>
      </c>
      <c r="S158" s="141">
        <v>0</v>
      </c>
      <c r="T158" s="141">
        <f>0.22*D158/30</f>
        <v>0.22</v>
      </c>
      <c r="U158" s="49"/>
      <c r="V158" s="50"/>
      <c r="W158" s="50"/>
      <c r="X158" s="50"/>
    </row>
    <row r="159" spans="1:24" s="3" customFormat="1" ht="11.25" customHeight="1">
      <c r="A159" s="133" t="s">
        <v>25</v>
      </c>
      <c r="B159" s="134"/>
      <c r="C159" s="134"/>
      <c r="D159" s="135">
        <f aca="true" t="shared" si="39" ref="D159:I159">SUM(D152:D158)</f>
        <v>900</v>
      </c>
      <c r="E159" s="150">
        <f t="shared" si="39"/>
        <v>93.99999999999999</v>
      </c>
      <c r="F159" s="127">
        <f t="shared" si="39"/>
        <v>39.13400000000001</v>
      </c>
      <c r="G159" s="126">
        <f t="shared" si="39"/>
        <v>39.66799999999999</v>
      </c>
      <c r="H159" s="126">
        <f t="shared" si="39"/>
        <v>107.79400000000001</v>
      </c>
      <c r="I159" s="126">
        <f t="shared" si="39"/>
        <v>944.734</v>
      </c>
      <c r="J159" s="127">
        <f aca="true" t="shared" si="40" ref="J159:T159">SUM(J152:J158)</f>
        <v>0.4200000000000001</v>
      </c>
      <c r="K159" s="127">
        <f t="shared" si="40"/>
        <v>0.428</v>
      </c>
      <c r="L159" s="126">
        <f t="shared" si="40"/>
        <v>39.14</v>
      </c>
      <c r="M159" s="127">
        <f t="shared" si="40"/>
        <v>15.288</v>
      </c>
      <c r="N159" s="128">
        <f t="shared" si="40"/>
        <v>8.886</v>
      </c>
      <c r="O159" s="127">
        <f t="shared" si="40"/>
        <v>220.84400000000002</v>
      </c>
      <c r="P159" s="126">
        <f t="shared" si="40"/>
        <v>707.7420000000001</v>
      </c>
      <c r="Q159" s="126">
        <f t="shared" si="40"/>
        <v>5.62288</v>
      </c>
      <c r="R159" s="127">
        <f t="shared" si="40"/>
        <v>0.043620000000000006</v>
      </c>
      <c r="S159" s="126">
        <f t="shared" si="40"/>
        <v>241.84000000000003</v>
      </c>
      <c r="T159" s="127">
        <f t="shared" si="40"/>
        <v>11.09</v>
      </c>
      <c r="U159" s="29"/>
      <c r="V159" s="30"/>
      <c r="W159" s="30"/>
      <c r="X159" s="30"/>
    </row>
    <row r="160" spans="1:24" s="3" customFormat="1" ht="11.25" customHeight="1">
      <c r="A160" s="225" t="s">
        <v>55</v>
      </c>
      <c r="B160" s="226"/>
      <c r="C160" s="226"/>
      <c r="D160" s="227"/>
      <c r="E160" s="174"/>
      <c r="F160" s="148">
        <f aca="true" t="shared" si="41" ref="F160:T160">F159/F167</f>
        <v>0.43482222222222233</v>
      </c>
      <c r="G160" s="51">
        <f t="shared" si="41"/>
        <v>0.4311739130434782</v>
      </c>
      <c r="H160" s="51">
        <f t="shared" si="41"/>
        <v>0.2814464751958225</v>
      </c>
      <c r="I160" s="51">
        <f t="shared" si="41"/>
        <v>0.34732867647058824</v>
      </c>
      <c r="J160" s="51">
        <f t="shared" si="41"/>
        <v>0.3000000000000001</v>
      </c>
      <c r="K160" s="51">
        <f t="shared" si="41"/>
        <v>0.26749999999999996</v>
      </c>
      <c r="L160" s="51">
        <f t="shared" si="41"/>
        <v>0.5591428571428572</v>
      </c>
      <c r="M160" s="51">
        <f t="shared" si="41"/>
        <v>16.986666666666668</v>
      </c>
      <c r="N160" s="51">
        <f t="shared" si="41"/>
        <v>0.7404999999999999</v>
      </c>
      <c r="O160" s="51">
        <f t="shared" si="41"/>
        <v>0.18403666666666668</v>
      </c>
      <c r="P160" s="51">
        <f t="shared" si="41"/>
        <v>0.5897850000000001</v>
      </c>
      <c r="Q160" s="51">
        <f t="shared" si="41"/>
        <v>0.4016342857142857</v>
      </c>
      <c r="R160" s="51">
        <f t="shared" si="41"/>
        <v>0.43620000000000003</v>
      </c>
      <c r="S160" s="51">
        <f t="shared" si="41"/>
        <v>0.8061333333333335</v>
      </c>
      <c r="T160" s="130">
        <f t="shared" si="41"/>
        <v>0.616111111111111</v>
      </c>
      <c r="U160" s="36"/>
      <c r="V160" s="30"/>
      <c r="W160" s="30"/>
      <c r="X160" s="30"/>
    </row>
    <row r="161" spans="1:24" s="3" customFormat="1" ht="11.25" customHeight="1">
      <c r="A161" s="245" t="s">
        <v>26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7"/>
      <c r="U161" s="9"/>
      <c r="V161" s="22"/>
      <c r="W161" s="22"/>
      <c r="X161" s="22"/>
    </row>
    <row r="162" spans="1:20" s="68" customFormat="1" ht="12" customHeight="1">
      <c r="A162" s="166"/>
      <c r="B162" s="223"/>
      <c r="C162" s="223"/>
      <c r="D162" s="163"/>
      <c r="E162" s="164"/>
      <c r="F162" s="164"/>
      <c r="G162" s="169"/>
      <c r="H162" s="169"/>
      <c r="I162" s="164"/>
      <c r="J162" s="164"/>
      <c r="K162" s="164"/>
      <c r="L162" s="164"/>
      <c r="M162" s="168"/>
      <c r="N162" s="169"/>
      <c r="O162" s="164"/>
      <c r="P162" s="164"/>
      <c r="Q162" s="164"/>
      <c r="R162" s="167"/>
      <c r="S162" s="164"/>
      <c r="T162" s="164"/>
    </row>
    <row r="163" spans="1:20" s="68" customFormat="1" ht="12" customHeight="1">
      <c r="A163" s="87"/>
      <c r="B163" s="213"/>
      <c r="C163" s="213"/>
      <c r="D163" s="71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1:24" s="1" customFormat="1" ht="11.25" customHeight="1">
      <c r="A164" s="133" t="s">
        <v>27</v>
      </c>
      <c r="B164" s="134"/>
      <c r="C164" s="134"/>
      <c r="D164" s="135">
        <f aca="true" t="shared" si="42" ref="D164:I164">SUM(D162:D163)</f>
        <v>0</v>
      </c>
      <c r="E164" s="150">
        <f t="shared" si="42"/>
        <v>0</v>
      </c>
      <c r="F164" s="127">
        <f t="shared" si="42"/>
        <v>0</v>
      </c>
      <c r="G164" s="126">
        <f t="shared" si="42"/>
        <v>0</v>
      </c>
      <c r="H164" s="126">
        <f t="shared" si="42"/>
        <v>0</v>
      </c>
      <c r="I164" s="126">
        <f t="shared" si="42"/>
        <v>0</v>
      </c>
      <c r="J164" s="127">
        <f aca="true" t="shared" si="43" ref="J164:T164">SUM(J162:J163)</f>
        <v>0</v>
      </c>
      <c r="K164" s="127">
        <f t="shared" si="43"/>
        <v>0</v>
      </c>
      <c r="L164" s="127">
        <f t="shared" si="43"/>
        <v>0</v>
      </c>
      <c r="M164" s="127">
        <f t="shared" si="43"/>
        <v>0</v>
      </c>
      <c r="N164" s="128">
        <f t="shared" si="43"/>
        <v>0</v>
      </c>
      <c r="O164" s="127">
        <f t="shared" si="43"/>
        <v>0</v>
      </c>
      <c r="P164" s="127">
        <f t="shared" si="43"/>
        <v>0</v>
      </c>
      <c r="Q164" s="127">
        <f t="shared" si="43"/>
        <v>0</v>
      </c>
      <c r="R164" s="127">
        <f t="shared" si="43"/>
        <v>0</v>
      </c>
      <c r="S164" s="127">
        <f t="shared" si="43"/>
        <v>0</v>
      </c>
      <c r="T164" s="127">
        <f t="shared" si="43"/>
        <v>0</v>
      </c>
      <c r="U164" s="29"/>
      <c r="V164" s="30"/>
      <c r="W164" s="30"/>
      <c r="X164" s="30"/>
    </row>
    <row r="165" spans="1:24" s="1" customFormat="1" ht="11.25" customHeight="1">
      <c r="A165" s="225" t="s">
        <v>55</v>
      </c>
      <c r="B165" s="226"/>
      <c r="C165" s="226"/>
      <c r="D165" s="227"/>
      <c r="E165" s="175"/>
      <c r="F165" s="127">
        <f>F164/F167</f>
        <v>0</v>
      </c>
      <c r="G165" s="130">
        <f aca="true" t="shared" si="44" ref="G165:T165">G164/G167</f>
        <v>0</v>
      </c>
      <c r="H165" s="130">
        <f t="shared" si="44"/>
        <v>0</v>
      </c>
      <c r="I165" s="130">
        <f t="shared" si="44"/>
        <v>0</v>
      </c>
      <c r="J165" s="130">
        <f t="shared" si="44"/>
        <v>0</v>
      </c>
      <c r="K165" s="130">
        <f t="shared" si="44"/>
        <v>0</v>
      </c>
      <c r="L165" s="130">
        <f t="shared" si="44"/>
        <v>0</v>
      </c>
      <c r="M165" s="130">
        <f t="shared" si="44"/>
        <v>0</v>
      </c>
      <c r="N165" s="130">
        <f t="shared" si="44"/>
        <v>0</v>
      </c>
      <c r="O165" s="130">
        <f t="shared" si="44"/>
        <v>0</v>
      </c>
      <c r="P165" s="130">
        <f t="shared" si="44"/>
        <v>0</v>
      </c>
      <c r="Q165" s="130">
        <f t="shared" si="44"/>
        <v>0</v>
      </c>
      <c r="R165" s="130">
        <f t="shared" si="44"/>
        <v>0</v>
      </c>
      <c r="S165" s="130">
        <f t="shared" si="44"/>
        <v>0</v>
      </c>
      <c r="T165" s="130">
        <f t="shared" si="44"/>
        <v>0</v>
      </c>
      <c r="U165" s="36"/>
      <c r="V165" s="30"/>
      <c r="W165" s="30"/>
      <c r="X165" s="30"/>
    </row>
    <row r="166" spans="1:24" s="1" customFormat="1" ht="11.25" customHeight="1">
      <c r="A166" s="133" t="s">
        <v>54</v>
      </c>
      <c r="B166" s="134"/>
      <c r="C166" s="134"/>
      <c r="D166" s="61">
        <f>D159+D149</f>
        <v>1446</v>
      </c>
      <c r="E166" s="151">
        <f>E149+E159</f>
        <v>167</v>
      </c>
      <c r="F166" s="127">
        <f aca="true" t="shared" si="45" ref="F166:T166">SUM(F149,F159,F164)</f>
        <v>52.94400000000001</v>
      </c>
      <c r="G166" s="126">
        <f t="shared" si="45"/>
        <v>66.34799999999998</v>
      </c>
      <c r="H166" s="126">
        <f t="shared" si="45"/>
        <v>184.75400000000002</v>
      </c>
      <c r="I166" s="126">
        <f t="shared" si="45"/>
        <v>1547.984</v>
      </c>
      <c r="J166" s="127">
        <f t="shared" si="45"/>
        <v>0.6250000000000001</v>
      </c>
      <c r="K166" s="127">
        <f t="shared" si="45"/>
        <v>0.532</v>
      </c>
      <c r="L166" s="126">
        <f t="shared" si="45"/>
        <v>45.57</v>
      </c>
      <c r="M166" s="127">
        <f t="shared" si="45"/>
        <v>15.339</v>
      </c>
      <c r="N166" s="127">
        <f t="shared" si="45"/>
        <v>9.675999999999998</v>
      </c>
      <c r="O166" s="126">
        <f t="shared" si="45"/>
        <v>267.264</v>
      </c>
      <c r="P166" s="126">
        <f t="shared" si="45"/>
        <v>901.7520000000001</v>
      </c>
      <c r="Q166" s="127">
        <f t="shared" si="45"/>
        <v>6.83188</v>
      </c>
      <c r="R166" s="128">
        <f t="shared" si="45"/>
        <v>2.5966199999999997</v>
      </c>
      <c r="S166" s="127">
        <f t="shared" si="45"/>
        <v>296.05</v>
      </c>
      <c r="T166" s="127">
        <f t="shared" si="45"/>
        <v>13.818</v>
      </c>
      <c r="U166" s="31"/>
      <c r="V166" s="30"/>
      <c r="W166" s="30"/>
      <c r="X166" s="30"/>
    </row>
    <row r="167" spans="1:24" s="1" customFormat="1" ht="11.25" customHeight="1">
      <c r="A167" s="201" t="s">
        <v>56</v>
      </c>
      <c r="B167" s="202"/>
      <c r="C167" s="202"/>
      <c r="D167" s="203"/>
      <c r="E167" s="180"/>
      <c r="F167" s="140">
        <v>90</v>
      </c>
      <c r="G167" s="138">
        <v>92</v>
      </c>
      <c r="H167" s="138">
        <v>383</v>
      </c>
      <c r="I167" s="138">
        <v>2720</v>
      </c>
      <c r="J167" s="140">
        <v>1.4</v>
      </c>
      <c r="K167" s="140">
        <v>1.6</v>
      </c>
      <c r="L167" s="139">
        <v>70</v>
      </c>
      <c r="M167" s="140">
        <v>0.9</v>
      </c>
      <c r="N167" s="139">
        <v>12</v>
      </c>
      <c r="O167" s="139">
        <v>1200</v>
      </c>
      <c r="P167" s="139">
        <v>1200</v>
      </c>
      <c r="Q167" s="139">
        <v>14</v>
      </c>
      <c r="R167" s="138">
        <v>0.1</v>
      </c>
      <c r="S167" s="139">
        <v>300</v>
      </c>
      <c r="T167" s="140">
        <v>18</v>
      </c>
      <c r="U167" s="49"/>
      <c r="V167" s="50"/>
      <c r="W167" s="50"/>
      <c r="X167" s="50"/>
    </row>
    <row r="168" spans="1:24" s="1" customFormat="1" ht="11.25" customHeight="1">
      <c r="A168" s="225" t="s">
        <v>55</v>
      </c>
      <c r="B168" s="226"/>
      <c r="C168" s="226"/>
      <c r="D168" s="227"/>
      <c r="E168" s="175"/>
      <c r="F168" s="51">
        <f aca="true" t="shared" si="46" ref="F168:T168">F166/F167</f>
        <v>0.5882666666666668</v>
      </c>
      <c r="G168" s="130">
        <f t="shared" si="46"/>
        <v>0.7211739130434781</v>
      </c>
      <c r="H168" s="130">
        <f t="shared" si="46"/>
        <v>0.48238642297650136</v>
      </c>
      <c r="I168" s="130">
        <f t="shared" si="46"/>
        <v>0.5691117647058823</v>
      </c>
      <c r="J168" s="130">
        <f t="shared" si="46"/>
        <v>0.44642857142857156</v>
      </c>
      <c r="K168" s="130">
        <f t="shared" si="46"/>
        <v>0.3325</v>
      </c>
      <c r="L168" s="130">
        <f t="shared" si="46"/>
        <v>0.651</v>
      </c>
      <c r="M168" s="33">
        <f t="shared" si="46"/>
        <v>17.043333333333333</v>
      </c>
      <c r="N168" s="130">
        <f t="shared" si="46"/>
        <v>0.8063333333333332</v>
      </c>
      <c r="O168" s="130">
        <f t="shared" si="46"/>
        <v>0.22272</v>
      </c>
      <c r="P168" s="130">
        <f t="shared" si="46"/>
        <v>0.75146</v>
      </c>
      <c r="Q168" s="130">
        <f t="shared" si="46"/>
        <v>0.4879914285714286</v>
      </c>
      <c r="R168" s="33">
        <f t="shared" si="46"/>
        <v>25.966199999999997</v>
      </c>
      <c r="S168" s="130">
        <f t="shared" si="46"/>
        <v>0.9868333333333333</v>
      </c>
      <c r="T168" s="33">
        <f t="shared" si="46"/>
        <v>0.7676666666666666</v>
      </c>
      <c r="U168" s="34"/>
      <c r="V168" s="35"/>
      <c r="W168" s="35"/>
      <c r="X168" s="35"/>
    </row>
    <row r="169" spans="1:24" s="1" customFormat="1" ht="11.25" customHeight="1">
      <c r="A169" s="42"/>
      <c r="B169" s="41"/>
      <c r="C169" s="41"/>
      <c r="D169" s="121"/>
      <c r="E169" s="121"/>
      <c r="F169" s="119"/>
      <c r="G169" s="121"/>
      <c r="H169" s="121"/>
      <c r="I169" s="121"/>
      <c r="J169" s="121"/>
      <c r="K169" s="121"/>
      <c r="L169" s="121"/>
      <c r="M169" s="220" t="s">
        <v>57</v>
      </c>
      <c r="N169" s="220"/>
      <c r="O169" s="220"/>
      <c r="P169" s="220"/>
      <c r="Q169" s="220"/>
      <c r="R169" s="220"/>
      <c r="S169" s="220"/>
      <c r="T169" s="220"/>
      <c r="U169" s="10"/>
      <c r="V169" s="17"/>
      <c r="W169" s="17"/>
      <c r="X169" s="17"/>
    </row>
    <row r="170" spans="1:24" s="3" customFormat="1" ht="11.25" customHeight="1">
      <c r="A170" s="222" t="s">
        <v>36</v>
      </c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11"/>
      <c r="V170" s="23"/>
      <c r="W170" s="23"/>
      <c r="X170" s="23"/>
    </row>
    <row r="171" spans="1:24" s="3" customFormat="1" ht="11.25" customHeight="1">
      <c r="A171" s="43" t="s">
        <v>48</v>
      </c>
      <c r="B171" s="41"/>
      <c r="C171" s="41"/>
      <c r="D171" s="2"/>
      <c r="E171" s="2"/>
      <c r="F171" s="119"/>
      <c r="G171" s="196" t="s">
        <v>0</v>
      </c>
      <c r="H171" s="196"/>
      <c r="I171" s="196"/>
      <c r="J171" s="121"/>
      <c r="K171" s="121"/>
      <c r="L171" s="215" t="s">
        <v>1</v>
      </c>
      <c r="M171" s="215"/>
      <c r="N171" s="214" t="str">
        <f>N137</f>
        <v>весенне-летний</v>
      </c>
      <c r="O171" s="214"/>
      <c r="P171" s="214"/>
      <c r="Q171" s="214"/>
      <c r="R171" s="121"/>
      <c r="S171" s="121"/>
      <c r="T171" s="121"/>
      <c r="U171" s="12"/>
      <c r="V171" s="18"/>
      <c r="W171" s="18"/>
      <c r="X171" s="18"/>
    </row>
    <row r="172" spans="1:24" s="3" customFormat="1" ht="11.25" customHeight="1">
      <c r="A172" s="41"/>
      <c r="B172" s="41"/>
      <c r="C172" s="41"/>
      <c r="D172" s="229" t="s">
        <v>2</v>
      </c>
      <c r="E172" s="229"/>
      <c r="F172" s="229"/>
      <c r="G172" s="5">
        <v>2</v>
      </c>
      <c r="H172" s="121"/>
      <c r="I172" s="2"/>
      <c r="J172" s="2"/>
      <c r="K172" s="2"/>
      <c r="L172" s="229" t="s">
        <v>3</v>
      </c>
      <c r="M172" s="229"/>
      <c r="N172" s="196" t="str">
        <f>N138</f>
        <v>с 7-11 лет;12 и старше</v>
      </c>
      <c r="O172" s="196"/>
      <c r="P172" s="196"/>
      <c r="Q172" s="196"/>
      <c r="R172" s="196"/>
      <c r="S172" s="196"/>
      <c r="T172" s="196"/>
      <c r="U172" s="13"/>
      <c r="V172" s="19"/>
      <c r="W172" s="19"/>
      <c r="X172" s="19"/>
    </row>
    <row r="173" spans="1:24" s="1" customFormat="1" ht="21.75" customHeight="1">
      <c r="A173" s="216" t="s">
        <v>4</v>
      </c>
      <c r="B173" s="197" t="s">
        <v>5</v>
      </c>
      <c r="C173" s="198"/>
      <c r="D173" s="216" t="s">
        <v>6</v>
      </c>
      <c r="E173" s="178"/>
      <c r="F173" s="204" t="s">
        <v>7</v>
      </c>
      <c r="G173" s="205"/>
      <c r="H173" s="206"/>
      <c r="I173" s="216" t="s">
        <v>8</v>
      </c>
      <c r="J173" s="204" t="s">
        <v>9</v>
      </c>
      <c r="K173" s="205"/>
      <c r="L173" s="205"/>
      <c r="M173" s="205"/>
      <c r="N173" s="206"/>
      <c r="O173" s="204" t="s">
        <v>10</v>
      </c>
      <c r="P173" s="205"/>
      <c r="Q173" s="205"/>
      <c r="R173" s="205"/>
      <c r="S173" s="205"/>
      <c r="T173" s="206"/>
      <c r="U173" s="7"/>
      <c r="V173" s="20"/>
      <c r="W173" s="20"/>
      <c r="X173" s="20"/>
    </row>
    <row r="174" spans="1:24" s="1" customFormat="1" ht="21" customHeight="1">
      <c r="A174" s="217"/>
      <c r="B174" s="199"/>
      <c r="C174" s="200"/>
      <c r="D174" s="217"/>
      <c r="E174" s="177"/>
      <c r="F174" s="57" t="s">
        <v>11</v>
      </c>
      <c r="G174" s="182" t="s">
        <v>12</v>
      </c>
      <c r="H174" s="182" t="s">
        <v>13</v>
      </c>
      <c r="I174" s="217"/>
      <c r="J174" s="182" t="s">
        <v>14</v>
      </c>
      <c r="K174" s="182" t="s">
        <v>50</v>
      </c>
      <c r="L174" s="182" t="s">
        <v>15</v>
      </c>
      <c r="M174" s="182" t="s">
        <v>16</v>
      </c>
      <c r="N174" s="182" t="s">
        <v>17</v>
      </c>
      <c r="O174" s="182" t="s">
        <v>18</v>
      </c>
      <c r="P174" s="182" t="s">
        <v>19</v>
      </c>
      <c r="Q174" s="182" t="s">
        <v>51</v>
      </c>
      <c r="R174" s="182" t="s">
        <v>53</v>
      </c>
      <c r="S174" s="182" t="s">
        <v>20</v>
      </c>
      <c r="T174" s="182" t="s">
        <v>21</v>
      </c>
      <c r="U174" s="7"/>
      <c r="V174" s="20"/>
      <c r="W174" s="20"/>
      <c r="X174" s="20"/>
    </row>
    <row r="175" spans="1:24" s="1" customFormat="1" ht="11.25" customHeight="1">
      <c r="A175" s="183">
        <v>1</v>
      </c>
      <c r="B175" s="230">
        <v>2</v>
      </c>
      <c r="C175" s="231"/>
      <c r="D175" s="28">
        <v>3</v>
      </c>
      <c r="E175" s="28"/>
      <c r="F175" s="58">
        <v>4</v>
      </c>
      <c r="G175" s="28">
        <v>5</v>
      </c>
      <c r="H175" s="28">
        <v>6</v>
      </c>
      <c r="I175" s="28">
        <v>7</v>
      </c>
      <c r="J175" s="28">
        <v>8</v>
      </c>
      <c r="K175" s="28">
        <v>9</v>
      </c>
      <c r="L175" s="28">
        <v>10</v>
      </c>
      <c r="M175" s="28">
        <v>11</v>
      </c>
      <c r="N175" s="28">
        <v>12</v>
      </c>
      <c r="O175" s="28">
        <v>13</v>
      </c>
      <c r="P175" s="28">
        <v>14</v>
      </c>
      <c r="Q175" s="28">
        <v>15</v>
      </c>
      <c r="R175" s="28">
        <v>16</v>
      </c>
      <c r="S175" s="28">
        <v>17</v>
      </c>
      <c r="T175" s="28">
        <v>18</v>
      </c>
      <c r="U175" s="8"/>
      <c r="V175" s="21"/>
      <c r="W175" s="21"/>
      <c r="X175" s="21"/>
    </row>
    <row r="176" spans="1:24" s="1" customFormat="1" ht="11.25" customHeight="1">
      <c r="A176" s="245" t="s">
        <v>93</v>
      </c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7"/>
      <c r="U176" s="9"/>
      <c r="V176" s="22"/>
      <c r="W176" s="22"/>
      <c r="X176" s="22"/>
    </row>
    <row r="177" spans="1:24" s="154" customFormat="1" ht="24.75" customHeight="1">
      <c r="A177" s="183">
        <v>203</v>
      </c>
      <c r="B177" s="208" t="s">
        <v>98</v>
      </c>
      <c r="C177" s="209"/>
      <c r="D177" s="139">
        <v>205</v>
      </c>
      <c r="E177" s="140">
        <v>26.27</v>
      </c>
      <c r="F177" s="140">
        <v>11.17</v>
      </c>
      <c r="G177" s="140">
        <v>10.28</v>
      </c>
      <c r="H177" s="140">
        <v>31.78</v>
      </c>
      <c r="I177" s="140">
        <v>264</v>
      </c>
      <c r="J177" s="140">
        <v>0.108</v>
      </c>
      <c r="K177" s="140">
        <v>0.036</v>
      </c>
      <c r="L177" s="140">
        <v>0</v>
      </c>
      <c r="M177" s="141">
        <v>0.036</v>
      </c>
      <c r="N177" s="140">
        <v>1.5</v>
      </c>
      <c r="O177" s="140">
        <v>15.936</v>
      </c>
      <c r="P177" s="140">
        <v>55.452</v>
      </c>
      <c r="Q177" s="140">
        <v>0.936</v>
      </c>
      <c r="R177" s="141">
        <v>0.0018000000000000002</v>
      </c>
      <c r="S177" s="140">
        <v>10.164000000000001</v>
      </c>
      <c r="T177" s="140">
        <v>1.032</v>
      </c>
      <c r="U177" s="152"/>
      <c r="V177" s="153"/>
      <c r="W177" s="153"/>
      <c r="X177" s="153"/>
    </row>
    <row r="178" spans="1:24" s="99" customFormat="1" ht="22.5" customHeight="1">
      <c r="A178" s="69" t="s">
        <v>58</v>
      </c>
      <c r="B178" s="232" t="s">
        <v>92</v>
      </c>
      <c r="C178" s="233"/>
      <c r="D178" s="70">
        <v>100</v>
      </c>
      <c r="E178" s="67">
        <v>32</v>
      </c>
      <c r="F178" s="67">
        <v>5.86</v>
      </c>
      <c r="G178" s="67">
        <v>16.31</v>
      </c>
      <c r="H178" s="67">
        <v>3.07</v>
      </c>
      <c r="I178" s="67">
        <v>182.51</v>
      </c>
      <c r="J178" s="67">
        <v>0.14</v>
      </c>
      <c r="K178" s="67">
        <v>0.05</v>
      </c>
      <c r="L178" s="67">
        <v>0.09</v>
      </c>
      <c r="M178" s="67">
        <v>0</v>
      </c>
      <c r="N178" s="67">
        <v>0</v>
      </c>
      <c r="O178" s="67">
        <v>9.54</v>
      </c>
      <c r="P178" s="67">
        <v>63.38</v>
      </c>
      <c r="Q178" s="67">
        <v>1.12</v>
      </c>
      <c r="R178" s="67">
        <v>2.55</v>
      </c>
      <c r="S178" s="67">
        <v>11.3</v>
      </c>
      <c r="T178" s="67">
        <v>0.75</v>
      </c>
      <c r="U178" s="104"/>
      <c r="V178" s="105"/>
      <c r="W178" s="105"/>
      <c r="X178" s="105"/>
    </row>
    <row r="179" spans="1:24" s="73" customFormat="1" ht="12.75" customHeight="1">
      <c r="A179" s="183">
        <v>377</v>
      </c>
      <c r="B179" s="212" t="s">
        <v>41</v>
      </c>
      <c r="C179" s="212"/>
      <c r="D179" s="139">
        <v>200</v>
      </c>
      <c r="E179" s="140">
        <v>3.81</v>
      </c>
      <c r="F179" s="140">
        <v>0.26</v>
      </c>
      <c r="G179" s="140">
        <v>0.06</v>
      </c>
      <c r="H179" s="140">
        <v>15.22</v>
      </c>
      <c r="I179" s="140">
        <f>F179*4+G179*9+H179*4</f>
        <v>62.46</v>
      </c>
      <c r="J179" s="140"/>
      <c r="K179" s="140">
        <v>0.01</v>
      </c>
      <c r="L179" s="140">
        <v>2.9</v>
      </c>
      <c r="M179" s="137">
        <v>0</v>
      </c>
      <c r="N179" s="140">
        <v>0.06</v>
      </c>
      <c r="O179" s="140">
        <v>8.05</v>
      </c>
      <c r="P179" s="140">
        <v>9.78</v>
      </c>
      <c r="Q179" s="140">
        <v>0.017</v>
      </c>
      <c r="R179" s="141">
        <v>0</v>
      </c>
      <c r="S179" s="140">
        <v>5.24</v>
      </c>
      <c r="T179" s="140">
        <v>0.87</v>
      </c>
      <c r="U179" s="77"/>
      <c r="V179" s="78"/>
      <c r="W179" s="78"/>
      <c r="X179" s="78"/>
    </row>
    <row r="180" spans="1:24" s="121" customFormat="1" ht="12.75" customHeight="1">
      <c r="A180" s="162">
        <v>3</v>
      </c>
      <c r="B180" s="223" t="s">
        <v>102</v>
      </c>
      <c r="C180" s="223"/>
      <c r="D180" s="163">
        <v>38</v>
      </c>
      <c r="E180" s="164">
        <v>10.92</v>
      </c>
      <c r="F180" s="164">
        <v>6.45</v>
      </c>
      <c r="G180" s="164">
        <v>7.27</v>
      </c>
      <c r="H180" s="164">
        <v>17.77</v>
      </c>
      <c r="I180" s="164">
        <v>162.25</v>
      </c>
      <c r="J180" s="164">
        <v>0.04</v>
      </c>
      <c r="K180" s="164">
        <v>0.02</v>
      </c>
      <c r="L180" s="163">
        <v>10</v>
      </c>
      <c r="M180" s="163">
        <v>0.02</v>
      </c>
      <c r="N180" s="164">
        <v>0.2</v>
      </c>
      <c r="O180" s="164">
        <v>16</v>
      </c>
      <c r="P180" s="164">
        <v>11</v>
      </c>
      <c r="Q180" s="163">
        <v>0.03</v>
      </c>
      <c r="R180" s="163">
        <v>0.002</v>
      </c>
      <c r="S180" s="164">
        <v>9</v>
      </c>
      <c r="T180" s="164">
        <v>2.2</v>
      </c>
      <c r="U180" s="190"/>
      <c r="V180" s="190"/>
      <c r="W180" s="190"/>
      <c r="X180" s="190"/>
    </row>
    <row r="181" spans="1:24" s="73" customFormat="1" ht="11.25" customHeight="1">
      <c r="A181" s="46" t="str">
        <f>A245</f>
        <v>Итого за Завтрак </v>
      </c>
      <c r="B181" s="47"/>
      <c r="C181" s="47"/>
      <c r="D181" s="135">
        <f aca="true" t="shared" si="47" ref="D181:I181">SUM(D177:D180)</f>
        <v>543</v>
      </c>
      <c r="E181" s="150">
        <f t="shared" si="47"/>
        <v>73</v>
      </c>
      <c r="F181" s="127">
        <f t="shared" si="47"/>
        <v>23.740000000000002</v>
      </c>
      <c r="G181" s="126">
        <f t="shared" si="47"/>
        <v>33.919999999999995</v>
      </c>
      <c r="H181" s="126">
        <f t="shared" si="47"/>
        <v>67.84</v>
      </c>
      <c r="I181" s="132">
        <f t="shared" si="47"/>
        <v>671.22</v>
      </c>
      <c r="J181" s="127">
        <f aca="true" t="shared" si="48" ref="J181:T181">SUM(J177:J180)</f>
        <v>0.288</v>
      </c>
      <c r="K181" s="127">
        <f t="shared" si="48"/>
        <v>0.11599999999999999</v>
      </c>
      <c r="L181" s="127">
        <f t="shared" si="48"/>
        <v>12.99</v>
      </c>
      <c r="M181" s="127">
        <f t="shared" si="48"/>
        <v>0.055999999999999994</v>
      </c>
      <c r="N181" s="127">
        <f t="shared" si="48"/>
        <v>1.76</v>
      </c>
      <c r="O181" s="127">
        <f t="shared" si="48"/>
        <v>49.525999999999996</v>
      </c>
      <c r="P181" s="127">
        <f t="shared" si="48"/>
        <v>139.612</v>
      </c>
      <c r="Q181" s="127">
        <f t="shared" si="48"/>
        <v>2.1029999999999998</v>
      </c>
      <c r="R181" s="128">
        <f t="shared" si="48"/>
        <v>2.5537999999999994</v>
      </c>
      <c r="S181" s="127">
        <f t="shared" si="48"/>
        <v>35.704</v>
      </c>
      <c r="T181" s="127">
        <f t="shared" si="48"/>
        <v>4.852</v>
      </c>
      <c r="U181" s="29"/>
      <c r="V181" s="74"/>
      <c r="W181" s="74"/>
      <c r="X181" s="74"/>
    </row>
    <row r="182" spans="1:24" s="73" customFormat="1" ht="11.25" customHeight="1">
      <c r="A182" s="225" t="s">
        <v>55</v>
      </c>
      <c r="B182" s="226"/>
      <c r="C182" s="226"/>
      <c r="D182" s="227"/>
      <c r="E182" s="174"/>
      <c r="F182" s="148">
        <f aca="true" t="shared" si="49" ref="F182:T182">F181/F199</f>
        <v>0.2637777777777778</v>
      </c>
      <c r="G182" s="130">
        <f t="shared" si="49"/>
        <v>0.368695652173913</v>
      </c>
      <c r="H182" s="130">
        <f t="shared" si="49"/>
        <v>0.17712793733681462</v>
      </c>
      <c r="I182" s="130">
        <f t="shared" si="49"/>
        <v>0.24677205882352943</v>
      </c>
      <c r="J182" s="130">
        <f t="shared" si="49"/>
        <v>0.2057142857142857</v>
      </c>
      <c r="K182" s="130">
        <f t="shared" si="49"/>
        <v>0.0725</v>
      </c>
      <c r="L182" s="130">
        <f t="shared" si="49"/>
        <v>0.18557142857142858</v>
      </c>
      <c r="M182" s="130">
        <f t="shared" si="49"/>
        <v>0.062222222222222213</v>
      </c>
      <c r="N182" s="130">
        <f t="shared" si="49"/>
        <v>0.14666666666666667</v>
      </c>
      <c r="O182" s="130">
        <f t="shared" si="49"/>
        <v>0.041271666666666665</v>
      </c>
      <c r="P182" s="130">
        <f t="shared" si="49"/>
        <v>0.11634333333333333</v>
      </c>
      <c r="Q182" s="130">
        <f t="shared" si="49"/>
        <v>0.1502142857142857</v>
      </c>
      <c r="R182" s="130">
        <f t="shared" si="49"/>
        <v>25.537999999999993</v>
      </c>
      <c r="S182" s="130">
        <f t="shared" si="49"/>
        <v>0.11901333333333333</v>
      </c>
      <c r="T182" s="130">
        <f t="shared" si="49"/>
        <v>0.26955555555555555</v>
      </c>
      <c r="U182" s="76"/>
      <c r="V182" s="74"/>
      <c r="W182" s="74"/>
      <c r="X182" s="74"/>
    </row>
    <row r="183" spans="1:24" s="73" customFormat="1" ht="11.25" customHeight="1">
      <c r="A183" s="242" t="str">
        <f>A216</f>
        <v>Обед (полноценный рацион питания)</v>
      </c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4"/>
      <c r="U183" s="9"/>
      <c r="V183" s="22"/>
      <c r="W183" s="22"/>
      <c r="X183" s="22"/>
    </row>
    <row r="184" spans="1:24" s="154" customFormat="1" ht="22.5" customHeight="1">
      <c r="A184" s="189" t="s">
        <v>104</v>
      </c>
      <c r="B184" s="208" t="s">
        <v>105</v>
      </c>
      <c r="C184" s="209"/>
      <c r="D184" s="139">
        <v>100</v>
      </c>
      <c r="E184" s="140">
        <v>8.48</v>
      </c>
      <c r="F184" s="140">
        <f>0.9*D184/60</f>
        <v>1.5</v>
      </c>
      <c r="G184" s="138">
        <f>3.1*D184/60</f>
        <v>5.166666666666667</v>
      </c>
      <c r="H184" s="138">
        <f>5.6*D184/60</f>
        <v>9.333333333333334</v>
      </c>
      <c r="I184" s="140">
        <f>F184*4+G184*9+H184*4</f>
        <v>89.83333333333334</v>
      </c>
      <c r="J184" s="141">
        <f>0.1*D184/60</f>
        <v>0.16666666666666666</v>
      </c>
      <c r="K184" s="141">
        <f>0.1*D184/60</f>
        <v>0.16666666666666666</v>
      </c>
      <c r="L184" s="140">
        <f>12.3*D184/60</f>
        <v>20.5</v>
      </c>
      <c r="M184" s="141">
        <f>0.02*D184/60</f>
        <v>0.03333333333333333</v>
      </c>
      <c r="N184" s="141">
        <f>0.5*D184/60</f>
        <v>0.8333333333333334</v>
      </c>
      <c r="O184" s="138">
        <f>59.9*D184/60</f>
        <v>99.83333333333333</v>
      </c>
      <c r="P184" s="138">
        <f>31.3*D184/60</f>
        <v>52.166666666666664</v>
      </c>
      <c r="Q184" s="120">
        <f>0.4228*D184/60</f>
        <v>0.7046666666666667</v>
      </c>
      <c r="R184" s="141">
        <f>0.003*D184/60</f>
        <v>0.005</v>
      </c>
      <c r="S184" s="138">
        <f>16.3*D184/60</f>
        <v>27.166666666666668</v>
      </c>
      <c r="T184" s="140">
        <f>0.7*D184/60</f>
        <v>1.1666666666666667</v>
      </c>
      <c r="U184" s="152"/>
      <c r="V184" s="153"/>
      <c r="W184" s="153"/>
      <c r="X184" s="153"/>
    </row>
    <row r="185" spans="1:24" s="99" customFormat="1" ht="23.25" customHeight="1">
      <c r="A185" s="183">
        <v>88</v>
      </c>
      <c r="B185" s="210" t="s">
        <v>81</v>
      </c>
      <c r="C185" s="211"/>
      <c r="D185" s="137">
        <v>250</v>
      </c>
      <c r="E185" s="137">
        <v>14.28</v>
      </c>
      <c r="F185" s="140">
        <v>2.44</v>
      </c>
      <c r="G185" s="140">
        <v>6.41</v>
      </c>
      <c r="H185" s="140">
        <v>11.11</v>
      </c>
      <c r="I185" s="140">
        <f>F185*4+G185*9+H185*4</f>
        <v>111.89</v>
      </c>
      <c r="J185" s="140">
        <v>0.03</v>
      </c>
      <c r="K185" s="140">
        <v>0.03</v>
      </c>
      <c r="L185" s="140">
        <v>11.39</v>
      </c>
      <c r="M185" s="140">
        <v>0.05</v>
      </c>
      <c r="N185" s="140">
        <v>0.099</v>
      </c>
      <c r="O185" s="140">
        <v>45.49</v>
      </c>
      <c r="P185" s="140">
        <v>29.96</v>
      </c>
      <c r="Q185" s="140">
        <v>1.44</v>
      </c>
      <c r="R185" s="141">
        <v>0.002</v>
      </c>
      <c r="S185" s="140">
        <v>15.35</v>
      </c>
      <c r="T185" s="140">
        <v>0.49</v>
      </c>
      <c r="U185" s="100"/>
      <c r="V185" s="101"/>
      <c r="W185" s="101"/>
      <c r="X185" s="101"/>
    </row>
    <row r="186" spans="1:24" s="154" customFormat="1" ht="24.75" customHeight="1">
      <c r="A186" s="136">
        <v>268</v>
      </c>
      <c r="B186" s="208" t="s">
        <v>71</v>
      </c>
      <c r="C186" s="209"/>
      <c r="D186" s="145">
        <v>100</v>
      </c>
      <c r="E186" s="145">
        <v>53.01</v>
      </c>
      <c r="F186" s="173">
        <v>18.5</v>
      </c>
      <c r="G186" s="173">
        <v>25.8625</v>
      </c>
      <c r="H186" s="173">
        <v>4.7625</v>
      </c>
      <c r="I186" s="173">
        <v>325.81250000000006</v>
      </c>
      <c r="J186" s="146">
        <v>0.225</v>
      </c>
      <c r="K186" s="173">
        <v>0.15</v>
      </c>
      <c r="L186" s="173">
        <v>0.5375</v>
      </c>
      <c r="M186" s="146">
        <v>0.099</v>
      </c>
      <c r="N186" s="146">
        <v>0.0125</v>
      </c>
      <c r="O186" s="173">
        <v>60.5625</v>
      </c>
      <c r="P186" s="173">
        <v>222.375</v>
      </c>
      <c r="Q186" s="146">
        <v>2.8499999999999996</v>
      </c>
      <c r="R186" s="146">
        <v>0.05</v>
      </c>
      <c r="S186" s="173">
        <v>30.5625</v>
      </c>
      <c r="T186" s="173">
        <v>2.4125</v>
      </c>
      <c r="U186" s="156"/>
      <c r="V186" s="157"/>
      <c r="W186" s="157"/>
      <c r="X186" s="157"/>
    </row>
    <row r="187" spans="1:24" s="154" customFormat="1" ht="24" customHeight="1">
      <c r="A187" s="183">
        <v>304</v>
      </c>
      <c r="B187" s="212" t="s">
        <v>77</v>
      </c>
      <c r="C187" s="212"/>
      <c r="D187" s="139">
        <v>180</v>
      </c>
      <c r="E187" s="140">
        <v>8.73</v>
      </c>
      <c r="F187" s="140">
        <v>4.44</v>
      </c>
      <c r="G187" s="140">
        <v>6.44</v>
      </c>
      <c r="H187" s="140">
        <v>44.01</v>
      </c>
      <c r="I187" s="140">
        <v>251.82</v>
      </c>
      <c r="J187" s="140">
        <v>0.036</v>
      </c>
      <c r="K187" s="137">
        <v>0.024</v>
      </c>
      <c r="L187" s="140">
        <v>0</v>
      </c>
      <c r="M187" s="137">
        <v>0.048</v>
      </c>
      <c r="N187" s="138">
        <v>0</v>
      </c>
      <c r="O187" s="138">
        <v>17.93</v>
      </c>
      <c r="P187" s="139">
        <v>95.25</v>
      </c>
      <c r="Q187" s="120">
        <v>0</v>
      </c>
      <c r="R187" s="138">
        <v>0.001</v>
      </c>
      <c r="S187" s="140">
        <v>33.47</v>
      </c>
      <c r="T187" s="142">
        <v>0.708</v>
      </c>
      <c r="U187" s="153"/>
      <c r="V187" s="153"/>
      <c r="W187" s="153"/>
      <c r="X187" s="153"/>
    </row>
    <row r="188" spans="1:24" s="154" customFormat="1" ht="11.25">
      <c r="A188" s="69">
        <v>345</v>
      </c>
      <c r="B188" s="213" t="s">
        <v>44</v>
      </c>
      <c r="C188" s="213"/>
      <c r="D188" s="71">
        <v>200</v>
      </c>
      <c r="E188" s="67">
        <v>4.9</v>
      </c>
      <c r="F188" s="67">
        <v>0.06</v>
      </c>
      <c r="G188" s="67">
        <v>0.02</v>
      </c>
      <c r="H188" s="67">
        <v>20.73</v>
      </c>
      <c r="I188" s="67">
        <v>83.34</v>
      </c>
      <c r="J188" s="67">
        <v>0</v>
      </c>
      <c r="K188" s="67">
        <v>0</v>
      </c>
      <c r="L188" s="67">
        <v>2.5</v>
      </c>
      <c r="M188" s="67">
        <v>0.004</v>
      </c>
      <c r="N188" s="67">
        <v>0.2</v>
      </c>
      <c r="O188" s="67">
        <v>4</v>
      </c>
      <c r="P188" s="67">
        <v>3.3</v>
      </c>
      <c r="Q188" s="67">
        <v>0.08</v>
      </c>
      <c r="R188" s="67">
        <v>0.001</v>
      </c>
      <c r="S188" s="67">
        <v>1.7</v>
      </c>
      <c r="T188" s="67">
        <v>0.15</v>
      </c>
      <c r="U188" s="152"/>
      <c r="V188" s="153"/>
      <c r="W188" s="153"/>
      <c r="X188" s="153"/>
    </row>
    <row r="189" spans="1:24" s="154" customFormat="1" ht="11.25" customHeight="1">
      <c r="A189" s="52" t="s">
        <v>58</v>
      </c>
      <c r="B189" s="208" t="s">
        <v>42</v>
      </c>
      <c r="C189" s="209"/>
      <c r="D189" s="139">
        <v>40</v>
      </c>
      <c r="E189" s="140">
        <v>2.08</v>
      </c>
      <c r="F189" s="140">
        <f>2.64*D189/40</f>
        <v>2.64</v>
      </c>
      <c r="G189" s="140">
        <f>0.48*D189/40</f>
        <v>0.48</v>
      </c>
      <c r="H189" s="140">
        <f>13.68*D189/40</f>
        <v>13.680000000000001</v>
      </c>
      <c r="I189" s="138">
        <f>F189*4+G189*9+H189*4</f>
        <v>69.60000000000001</v>
      </c>
      <c r="J189" s="137">
        <f>0.08*D189/40</f>
        <v>0.08</v>
      </c>
      <c r="K189" s="140">
        <f>0.04*D189/40</f>
        <v>0.04</v>
      </c>
      <c r="L189" s="139">
        <v>0</v>
      </c>
      <c r="M189" s="139">
        <v>0</v>
      </c>
      <c r="N189" s="140">
        <f>2.4*D189/40</f>
        <v>2.4</v>
      </c>
      <c r="O189" s="140">
        <f>14*D189/40</f>
        <v>14</v>
      </c>
      <c r="P189" s="140">
        <f>63.2*D189/40</f>
        <v>63.2</v>
      </c>
      <c r="Q189" s="140">
        <f>1.2*D189/40</f>
        <v>1.2</v>
      </c>
      <c r="R189" s="141">
        <f>0.001*D189/40</f>
        <v>0.001</v>
      </c>
      <c r="S189" s="140">
        <f>9.4*D189/40</f>
        <v>9.4</v>
      </c>
      <c r="T189" s="137">
        <f>0.78*D189/40</f>
        <v>0.78</v>
      </c>
      <c r="U189" s="160"/>
      <c r="V189" s="161"/>
      <c r="W189" s="161"/>
      <c r="X189" s="161"/>
    </row>
    <row r="190" spans="1:24" s="73" customFormat="1" ht="11.25" customHeight="1">
      <c r="A190" s="144" t="s">
        <v>58</v>
      </c>
      <c r="B190" s="208" t="s">
        <v>47</v>
      </c>
      <c r="C190" s="209"/>
      <c r="D190" s="139">
        <v>30</v>
      </c>
      <c r="E190" s="140">
        <v>2.52</v>
      </c>
      <c r="F190" s="140">
        <f>1.52*D190/30</f>
        <v>1.52</v>
      </c>
      <c r="G190" s="141">
        <f>0.16*D190/30</f>
        <v>0.16</v>
      </c>
      <c r="H190" s="141">
        <f>9.84*D190/30</f>
        <v>9.84</v>
      </c>
      <c r="I190" s="141">
        <f>F190*4+G190*9+H190*4</f>
        <v>46.879999999999995</v>
      </c>
      <c r="J190" s="141">
        <f>0.02*D190/30</f>
        <v>0.02</v>
      </c>
      <c r="K190" s="141">
        <f>0.01*D190/30</f>
        <v>0.01</v>
      </c>
      <c r="L190" s="141">
        <f>0.44*D190/30</f>
        <v>0.44</v>
      </c>
      <c r="M190" s="141">
        <v>0</v>
      </c>
      <c r="N190" s="141">
        <f>0.7*D190/30</f>
        <v>0.7</v>
      </c>
      <c r="O190" s="141">
        <f>4*D190/30</f>
        <v>4</v>
      </c>
      <c r="P190" s="141">
        <f>13*D190/30</f>
        <v>13</v>
      </c>
      <c r="Q190" s="141">
        <f>0.008*D190/30</f>
        <v>0.008</v>
      </c>
      <c r="R190" s="141">
        <f>0.001*D190/30</f>
        <v>0.001</v>
      </c>
      <c r="S190" s="141">
        <v>0</v>
      </c>
      <c r="T190" s="141">
        <f>0.22*D190/30</f>
        <v>0.22</v>
      </c>
      <c r="U190" s="77"/>
      <c r="V190" s="78"/>
      <c r="W190" s="78"/>
      <c r="X190" s="78"/>
    </row>
    <row r="191" spans="1:24" s="73" customFormat="1" ht="11.25" customHeight="1">
      <c r="A191" s="133" t="s">
        <v>25</v>
      </c>
      <c r="B191" s="134"/>
      <c r="C191" s="134"/>
      <c r="D191" s="135">
        <f aca="true" t="shared" si="50" ref="D191:T191">SUM(D184:D190)</f>
        <v>900</v>
      </c>
      <c r="E191" s="150">
        <f t="shared" si="50"/>
        <v>94</v>
      </c>
      <c r="F191" s="127">
        <f t="shared" si="50"/>
        <v>31.1</v>
      </c>
      <c r="G191" s="126">
        <f t="shared" si="50"/>
        <v>44.53916666666666</v>
      </c>
      <c r="H191" s="126">
        <f t="shared" si="50"/>
        <v>113.46583333333335</v>
      </c>
      <c r="I191" s="126">
        <f t="shared" si="50"/>
        <v>979.1758333333333</v>
      </c>
      <c r="J191" s="126">
        <f t="shared" si="50"/>
        <v>0.5576666666666666</v>
      </c>
      <c r="K191" s="126">
        <f t="shared" si="50"/>
        <v>0.4206666666666667</v>
      </c>
      <c r="L191" s="126">
        <f t="shared" si="50"/>
        <v>35.3675</v>
      </c>
      <c r="M191" s="126">
        <f t="shared" si="50"/>
        <v>0.23433333333333334</v>
      </c>
      <c r="N191" s="126">
        <f t="shared" si="50"/>
        <v>4.244833333333333</v>
      </c>
      <c r="O191" s="126">
        <f t="shared" si="50"/>
        <v>245.81583333333333</v>
      </c>
      <c r="P191" s="126">
        <f t="shared" si="50"/>
        <v>479.25166666666667</v>
      </c>
      <c r="Q191" s="126">
        <f t="shared" si="50"/>
        <v>6.282666666666667</v>
      </c>
      <c r="R191" s="126">
        <f t="shared" si="50"/>
        <v>0.061000000000000006</v>
      </c>
      <c r="S191" s="126">
        <f t="shared" si="50"/>
        <v>117.64916666666667</v>
      </c>
      <c r="T191" s="126">
        <f t="shared" si="50"/>
        <v>5.927166666666667</v>
      </c>
      <c r="U191" s="29"/>
      <c r="V191" s="74"/>
      <c r="W191" s="74"/>
      <c r="X191" s="74"/>
    </row>
    <row r="192" spans="1:24" s="73" customFormat="1" ht="11.25" customHeight="1">
      <c r="A192" s="225" t="s">
        <v>55</v>
      </c>
      <c r="B192" s="226"/>
      <c r="C192" s="226"/>
      <c r="D192" s="227"/>
      <c r="E192" s="174"/>
      <c r="F192" s="148">
        <f aca="true" t="shared" si="51" ref="F192:T192">F191/F199</f>
        <v>0.34555555555555556</v>
      </c>
      <c r="G192" s="130">
        <f t="shared" si="51"/>
        <v>0.4841213768115941</v>
      </c>
      <c r="H192" s="130">
        <f t="shared" si="51"/>
        <v>0.29625543951261973</v>
      </c>
      <c r="I192" s="130">
        <f t="shared" si="51"/>
        <v>0.35999111519607846</v>
      </c>
      <c r="J192" s="130">
        <f t="shared" si="51"/>
        <v>0.3983333333333333</v>
      </c>
      <c r="K192" s="130">
        <f t="shared" si="51"/>
        <v>0.2629166666666667</v>
      </c>
      <c r="L192" s="130">
        <f t="shared" si="51"/>
        <v>0.50525</v>
      </c>
      <c r="M192" s="130">
        <f t="shared" si="51"/>
        <v>0.26037037037037036</v>
      </c>
      <c r="N192" s="130">
        <f t="shared" si="51"/>
        <v>0.3537361111111111</v>
      </c>
      <c r="O192" s="130">
        <f t="shared" si="51"/>
        <v>0.2048465277777778</v>
      </c>
      <c r="P192" s="130">
        <f t="shared" si="51"/>
        <v>0.3993763888888889</v>
      </c>
      <c r="Q192" s="130">
        <f t="shared" si="51"/>
        <v>0.44876190476190475</v>
      </c>
      <c r="R192" s="130">
        <f t="shared" si="51"/>
        <v>0.61</v>
      </c>
      <c r="S192" s="130">
        <f t="shared" si="51"/>
        <v>0.3921638888888889</v>
      </c>
      <c r="T192" s="130">
        <f t="shared" si="51"/>
        <v>0.3292870370370371</v>
      </c>
      <c r="U192" s="76"/>
      <c r="V192" s="74"/>
      <c r="W192" s="74"/>
      <c r="X192" s="74"/>
    </row>
    <row r="193" spans="1:24" s="73" customFormat="1" ht="11.25" customHeight="1">
      <c r="A193" s="245" t="s">
        <v>26</v>
      </c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7"/>
      <c r="U193" s="9"/>
      <c r="V193" s="22"/>
      <c r="W193" s="22"/>
      <c r="X193" s="22"/>
    </row>
    <row r="194" spans="1:20" s="68" customFormat="1" ht="11.25" customHeight="1">
      <c r="A194" s="166"/>
      <c r="B194" s="223"/>
      <c r="C194" s="223"/>
      <c r="D194" s="163"/>
      <c r="E194" s="164"/>
      <c r="F194" s="164"/>
      <c r="G194" s="164"/>
      <c r="H194" s="164"/>
      <c r="I194" s="164"/>
      <c r="J194" s="164"/>
      <c r="K194" s="164"/>
      <c r="L194" s="169"/>
      <c r="M194" s="164"/>
      <c r="N194" s="168"/>
      <c r="O194" s="169"/>
      <c r="P194" s="164"/>
      <c r="Q194" s="169"/>
      <c r="R194" s="163"/>
      <c r="S194" s="164"/>
      <c r="T194" s="164"/>
    </row>
    <row r="195" spans="1:24" s="73" customFormat="1" ht="12.75" customHeight="1">
      <c r="A195" s="183"/>
      <c r="B195" s="212"/>
      <c r="C195" s="212"/>
      <c r="D195" s="139"/>
      <c r="E195" s="140"/>
      <c r="F195" s="140"/>
      <c r="G195" s="140"/>
      <c r="H195" s="140"/>
      <c r="I195" s="140"/>
      <c r="J195" s="140"/>
      <c r="K195" s="140"/>
      <c r="L195" s="140"/>
      <c r="M195" s="137"/>
      <c r="N195" s="140"/>
      <c r="O195" s="140"/>
      <c r="P195" s="140"/>
      <c r="Q195" s="140"/>
      <c r="R195" s="141"/>
      <c r="S195" s="140"/>
      <c r="T195" s="140"/>
      <c r="U195" s="77"/>
      <c r="V195" s="78"/>
      <c r="W195" s="78"/>
      <c r="X195" s="78"/>
    </row>
    <row r="196" spans="1:24" s="1" customFormat="1" ht="11.25" customHeight="1">
      <c r="A196" s="133" t="s">
        <v>27</v>
      </c>
      <c r="B196" s="134"/>
      <c r="C196" s="134"/>
      <c r="D196" s="135"/>
      <c r="E196" s="88">
        <f>SUM(E194:E195)</f>
        <v>0</v>
      </c>
      <c r="F196" s="127">
        <f>SUM(F194:F195)</f>
        <v>0</v>
      </c>
      <c r="G196" s="126">
        <f>SUM(G194:G195)</f>
        <v>0</v>
      </c>
      <c r="H196" s="126">
        <f>SUM(H194:H195)</f>
        <v>0</v>
      </c>
      <c r="I196" s="126">
        <f>SUM(I194:I195)</f>
        <v>0</v>
      </c>
      <c r="J196" s="127">
        <f aca="true" t="shared" si="52" ref="J196:T196">SUM(J194:J195)</f>
        <v>0</v>
      </c>
      <c r="K196" s="127">
        <f t="shared" si="52"/>
        <v>0</v>
      </c>
      <c r="L196" s="126">
        <f t="shared" si="52"/>
        <v>0</v>
      </c>
      <c r="M196" s="126">
        <f t="shared" si="52"/>
        <v>0</v>
      </c>
      <c r="N196" s="126">
        <f t="shared" si="52"/>
        <v>0</v>
      </c>
      <c r="O196" s="126">
        <f t="shared" si="52"/>
        <v>0</v>
      </c>
      <c r="P196" s="126">
        <f t="shared" si="52"/>
        <v>0</v>
      </c>
      <c r="Q196" s="126">
        <f t="shared" si="52"/>
        <v>0</v>
      </c>
      <c r="R196" s="128">
        <f t="shared" si="52"/>
        <v>0</v>
      </c>
      <c r="S196" s="126">
        <f t="shared" si="52"/>
        <v>0</v>
      </c>
      <c r="T196" s="127">
        <f t="shared" si="52"/>
        <v>0</v>
      </c>
      <c r="U196" s="29"/>
      <c r="V196" s="74"/>
      <c r="W196" s="74"/>
      <c r="X196" s="74"/>
    </row>
    <row r="197" spans="1:24" s="1" customFormat="1" ht="11.25" customHeight="1">
      <c r="A197" s="225" t="s">
        <v>55</v>
      </c>
      <c r="B197" s="226"/>
      <c r="C197" s="226"/>
      <c r="D197" s="227"/>
      <c r="E197" s="175"/>
      <c r="F197" s="51">
        <f>F196/F199</f>
        <v>0</v>
      </c>
      <c r="G197" s="130">
        <f aca="true" t="shared" si="53" ref="G197:T197">G196/G199</f>
        <v>0</v>
      </c>
      <c r="H197" s="130">
        <f t="shared" si="53"/>
        <v>0</v>
      </c>
      <c r="I197" s="130">
        <f t="shared" si="53"/>
        <v>0</v>
      </c>
      <c r="J197" s="130">
        <f t="shared" si="53"/>
        <v>0</v>
      </c>
      <c r="K197" s="130">
        <f t="shared" si="53"/>
        <v>0</v>
      </c>
      <c r="L197" s="130">
        <f t="shared" si="53"/>
        <v>0</v>
      </c>
      <c r="M197" s="130">
        <f t="shared" si="53"/>
        <v>0</v>
      </c>
      <c r="N197" s="130">
        <f t="shared" si="53"/>
        <v>0</v>
      </c>
      <c r="O197" s="130">
        <f t="shared" si="53"/>
        <v>0</v>
      </c>
      <c r="P197" s="130">
        <f t="shared" si="53"/>
        <v>0</v>
      </c>
      <c r="Q197" s="130">
        <f t="shared" si="53"/>
        <v>0</v>
      </c>
      <c r="R197" s="130">
        <f t="shared" si="53"/>
        <v>0</v>
      </c>
      <c r="S197" s="130">
        <f t="shared" si="53"/>
        <v>0</v>
      </c>
      <c r="T197" s="130">
        <f t="shared" si="53"/>
        <v>0</v>
      </c>
      <c r="U197" s="76"/>
      <c r="V197" s="74"/>
      <c r="W197" s="74"/>
      <c r="X197" s="74"/>
    </row>
    <row r="198" spans="1:24" s="1" customFormat="1" ht="11.25" customHeight="1">
      <c r="A198" s="133" t="s">
        <v>54</v>
      </c>
      <c r="B198" s="134"/>
      <c r="C198" s="134"/>
      <c r="D198" s="61">
        <f>D181+D191</f>
        <v>1443</v>
      </c>
      <c r="E198" s="151">
        <f>E191+E181</f>
        <v>167</v>
      </c>
      <c r="F198" s="127">
        <f aca="true" t="shared" si="54" ref="F198:T198">SUM(F181,F191,F196)</f>
        <v>54.84</v>
      </c>
      <c r="G198" s="126">
        <f t="shared" si="54"/>
        <v>78.45916666666665</v>
      </c>
      <c r="H198" s="126">
        <f t="shared" si="54"/>
        <v>181.30583333333334</v>
      </c>
      <c r="I198" s="126">
        <f t="shared" si="54"/>
        <v>1650.3958333333335</v>
      </c>
      <c r="J198" s="127">
        <f t="shared" si="54"/>
        <v>0.8456666666666666</v>
      </c>
      <c r="K198" s="127">
        <f t="shared" si="54"/>
        <v>0.5366666666666666</v>
      </c>
      <c r="L198" s="126">
        <f t="shared" si="54"/>
        <v>48.3575</v>
      </c>
      <c r="M198" s="127">
        <f t="shared" si="54"/>
        <v>0.29033333333333333</v>
      </c>
      <c r="N198" s="127">
        <f t="shared" si="54"/>
        <v>6.004833333333333</v>
      </c>
      <c r="O198" s="126">
        <f t="shared" si="54"/>
        <v>295.34183333333334</v>
      </c>
      <c r="P198" s="126">
        <f t="shared" si="54"/>
        <v>618.8636666666666</v>
      </c>
      <c r="Q198" s="127">
        <f t="shared" si="54"/>
        <v>8.385666666666665</v>
      </c>
      <c r="R198" s="128">
        <f t="shared" si="54"/>
        <v>2.6147999999999993</v>
      </c>
      <c r="S198" s="127">
        <f t="shared" si="54"/>
        <v>153.35316666666668</v>
      </c>
      <c r="T198" s="127">
        <f t="shared" si="54"/>
        <v>10.779166666666669</v>
      </c>
      <c r="U198" s="31"/>
      <c r="V198" s="74"/>
      <c r="W198" s="74"/>
      <c r="X198" s="74"/>
    </row>
    <row r="199" spans="1:24" s="1" customFormat="1" ht="11.25" customHeight="1">
      <c r="A199" s="201" t="s">
        <v>56</v>
      </c>
      <c r="B199" s="202"/>
      <c r="C199" s="202"/>
      <c r="D199" s="203"/>
      <c r="E199" s="180"/>
      <c r="F199" s="140">
        <v>90</v>
      </c>
      <c r="G199" s="138">
        <v>92</v>
      </c>
      <c r="H199" s="138">
        <v>383</v>
      </c>
      <c r="I199" s="138">
        <v>2720</v>
      </c>
      <c r="J199" s="140">
        <v>1.4</v>
      </c>
      <c r="K199" s="140">
        <v>1.6</v>
      </c>
      <c r="L199" s="139">
        <v>70</v>
      </c>
      <c r="M199" s="140">
        <v>0.9</v>
      </c>
      <c r="N199" s="139">
        <v>12</v>
      </c>
      <c r="O199" s="139">
        <v>1200</v>
      </c>
      <c r="P199" s="139">
        <v>1200</v>
      </c>
      <c r="Q199" s="139">
        <v>14</v>
      </c>
      <c r="R199" s="138">
        <v>0.1</v>
      </c>
      <c r="S199" s="139">
        <v>300</v>
      </c>
      <c r="T199" s="140">
        <v>18</v>
      </c>
      <c r="U199" s="77"/>
      <c r="V199" s="78"/>
      <c r="W199" s="78"/>
      <c r="X199" s="78"/>
    </row>
    <row r="200" spans="1:24" s="1" customFormat="1" ht="11.25" customHeight="1">
      <c r="A200" s="225" t="s">
        <v>55</v>
      </c>
      <c r="B200" s="226"/>
      <c r="C200" s="226"/>
      <c r="D200" s="227"/>
      <c r="E200" s="175"/>
      <c r="F200" s="51">
        <f aca="true" t="shared" si="55" ref="F200:T200">F198/F199</f>
        <v>0.6093333333333334</v>
      </c>
      <c r="G200" s="130">
        <f t="shared" si="55"/>
        <v>0.852817028985507</v>
      </c>
      <c r="H200" s="130">
        <f t="shared" si="55"/>
        <v>0.4733833768494343</v>
      </c>
      <c r="I200" s="130">
        <f t="shared" si="55"/>
        <v>0.6067631740196079</v>
      </c>
      <c r="J200" s="130">
        <f t="shared" si="55"/>
        <v>0.604047619047619</v>
      </c>
      <c r="K200" s="130">
        <f t="shared" si="55"/>
        <v>0.33541666666666664</v>
      </c>
      <c r="L200" s="33">
        <f t="shared" si="55"/>
        <v>0.6908214285714286</v>
      </c>
      <c r="M200" s="33">
        <f t="shared" si="55"/>
        <v>0.3225925925925926</v>
      </c>
      <c r="N200" s="33">
        <f t="shared" si="55"/>
        <v>0.5004027777777778</v>
      </c>
      <c r="O200" s="130">
        <f t="shared" si="55"/>
        <v>0.24611819444444444</v>
      </c>
      <c r="P200" s="130">
        <f t="shared" si="55"/>
        <v>0.5157197222222222</v>
      </c>
      <c r="Q200" s="130">
        <f t="shared" si="55"/>
        <v>0.5989761904761904</v>
      </c>
      <c r="R200" s="33">
        <f t="shared" si="55"/>
        <v>26.147999999999993</v>
      </c>
      <c r="S200" s="130">
        <f t="shared" si="55"/>
        <v>0.5111772222222223</v>
      </c>
      <c r="T200" s="33">
        <f t="shared" si="55"/>
        <v>0.5988425925925926</v>
      </c>
      <c r="U200" s="34"/>
      <c r="V200" s="35"/>
      <c r="W200" s="35"/>
      <c r="X200" s="35"/>
    </row>
    <row r="201" spans="1:24" s="1" customFormat="1" ht="11.25" customHeight="1">
      <c r="A201" s="42"/>
      <c r="B201" s="41"/>
      <c r="C201" s="41"/>
      <c r="D201" s="121"/>
      <c r="E201" s="121"/>
      <c r="F201" s="119"/>
      <c r="G201" s="121"/>
      <c r="H201" s="121"/>
      <c r="I201" s="121"/>
      <c r="J201" s="121"/>
      <c r="K201" s="121"/>
      <c r="L201" s="121"/>
      <c r="M201" s="220" t="s">
        <v>57</v>
      </c>
      <c r="N201" s="220"/>
      <c r="O201" s="220"/>
      <c r="P201" s="220"/>
      <c r="Q201" s="220"/>
      <c r="R201" s="220"/>
      <c r="S201" s="220"/>
      <c r="T201" s="220"/>
      <c r="U201" s="10"/>
      <c r="V201" s="17"/>
      <c r="W201" s="17"/>
      <c r="X201" s="17"/>
    </row>
    <row r="202" spans="1:24" s="1" customFormat="1" ht="11.25" customHeight="1">
      <c r="A202" s="222" t="s">
        <v>37</v>
      </c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11"/>
      <c r="V202" s="23"/>
      <c r="W202" s="23"/>
      <c r="X202" s="23"/>
    </row>
    <row r="203" spans="1:24" s="1" customFormat="1" ht="11.25" customHeight="1">
      <c r="A203" s="43" t="s">
        <v>48</v>
      </c>
      <c r="B203" s="41"/>
      <c r="C203" s="41"/>
      <c r="D203" s="2"/>
      <c r="E203" s="2"/>
      <c r="F203" s="119"/>
      <c r="G203" s="196" t="s">
        <v>29</v>
      </c>
      <c r="H203" s="196"/>
      <c r="I203" s="196"/>
      <c r="J203" s="121"/>
      <c r="K203" s="121"/>
      <c r="L203" s="215" t="s">
        <v>1</v>
      </c>
      <c r="M203" s="215"/>
      <c r="N203" s="214" t="str">
        <f>N171</f>
        <v>весенне-летний</v>
      </c>
      <c r="O203" s="214"/>
      <c r="P203" s="214"/>
      <c r="Q203" s="214"/>
      <c r="R203" s="121"/>
      <c r="S203" s="121"/>
      <c r="T203" s="121"/>
      <c r="U203" s="12"/>
      <c r="V203" s="18"/>
      <c r="W203" s="18"/>
      <c r="X203" s="18"/>
    </row>
    <row r="204" spans="1:24" s="1" customFormat="1" ht="11.25" customHeight="1">
      <c r="A204" s="41"/>
      <c r="B204" s="41"/>
      <c r="C204" s="41"/>
      <c r="D204" s="229" t="s">
        <v>2</v>
      </c>
      <c r="E204" s="229"/>
      <c r="F204" s="229"/>
      <c r="G204" s="5">
        <v>2</v>
      </c>
      <c r="H204" s="121"/>
      <c r="I204" s="2"/>
      <c r="J204" s="2"/>
      <c r="K204" s="2"/>
      <c r="L204" s="229" t="s">
        <v>3</v>
      </c>
      <c r="M204" s="229"/>
      <c r="N204" s="196" t="str">
        <f>N172</f>
        <v>с 7-11 лет;12 и старше</v>
      </c>
      <c r="O204" s="196"/>
      <c r="P204" s="196"/>
      <c r="Q204" s="196"/>
      <c r="R204" s="196"/>
      <c r="S204" s="196"/>
      <c r="T204" s="196"/>
      <c r="U204" s="13"/>
      <c r="V204" s="19"/>
      <c r="W204" s="19"/>
      <c r="X204" s="19"/>
    </row>
    <row r="205" spans="1:24" s="1" customFormat="1" ht="21.75" customHeight="1">
      <c r="A205" s="216" t="s">
        <v>4</v>
      </c>
      <c r="B205" s="197" t="s">
        <v>5</v>
      </c>
      <c r="C205" s="198"/>
      <c r="D205" s="216" t="s">
        <v>6</v>
      </c>
      <c r="E205" s="178"/>
      <c r="F205" s="204" t="s">
        <v>7</v>
      </c>
      <c r="G205" s="205"/>
      <c r="H205" s="206"/>
      <c r="I205" s="216" t="s">
        <v>8</v>
      </c>
      <c r="J205" s="204" t="s">
        <v>9</v>
      </c>
      <c r="K205" s="205"/>
      <c r="L205" s="205"/>
      <c r="M205" s="205"/>
      <c r="N205" s="206"/>
      <c r="O205" s="204" t="s">
        <v>10</v>
      </c>
      <c r="P205" s="205"/>
      <c r="Q205" s="205"/>
      <c r="R205" s="205"/>
      <c r="S205" s="205"/>
      <c r="T205" s="206"/>
      <c r="U205" s="7"/>
      <c r="V205" s="20"/>
      <c r="W205" s="20"/>
      <c r="X205" s="20"/>
    </row>
    <row r="206" spans="1:24" s="1" customFormat="1" ht="21" customHeight="1">
      <c r="A206" s="217"/>
      <c r="B206" s="199"/>
      <c r="C206" s="200"/>
      <c r="D206" s="217"/>
      <c r="E206" s="177"/>
      <c r="F206" s="57" t="s">
        <v>11</v>
      </c>
      <c r="G206" s="182" t="s">
        <v>12</v>
      </c>
      <c r="H206" s="182" t="s">
        <v>13</v>
      </c>
      <c r="I206" s="217"/>
      <c r="J206" s="182" t="s">
        <v>14</v>
      </c>
      <c r="K206" s="182" t="s">
        <v>50</v>
      </c>
      <c r="L206" s="182" t="s">
        <v>15</v>
      </c>
      <c r="M206" s="182" t="s">
        <v>16</v>
      </c>
      <c r="N206" s="182" t="s">
        <v>17</v>
      </c>
      <c r="O206" s="182" t="s">
        <v>18</v>
      </c>
      <c r="P206" s="182" t="s">
        <v>19</v>
      </c>
      <c r="Q206" s="182" t="s">
        <v>51</v>
      </c>
      <c r="R206" s="182" t="s">
        <v>52</v>
      </c>
      <c r="S206" s="182" t="s">
        <v>20</v>
      </c>
      <c r="T206" s="182" t="s">
        <v>21</v>
      </c>
      <c r="U206" s="7"/>
      <c r="V206" s="20"/>
      <c r="W206" s="20"/>
      <c r="X206" s="20"/>
    </row>
    <row r="207" spans="1:24" s="1" customFormat="1" ht="11.25" customHeight="1">
      <c r="A207" s="183">
        <v>1</v>
      </c>
      <c r="B207" s="230">
        <v>2</v>
      </c>
      <c r="C207" s="231"/>
      <c r="D207" s="28">
        <v>3</v>
      </c>
      <c r="E207" s="28"/>
      <c r="F207" s="28">
        <v>4</v>
      </c>
      <c r="G207" s="28">
        <v>5</v>
      </c>
      <c r="H207" s="28">
        <v>6</v>
      </c>
      <c r="I207" s="28">
        <v>7</v>
      </c>
      <c r="J207" s="28">
        <v>8</v>
      </c>
      <c r="K207" s="28">
        <v>9</v>
      </c>
      <c r="L207" s="28">
        <v>10</v>
      </c>
      <c r="M207" s="28">
        <v>11</v>
      </c>
      <c r="N207" s="28">
        <v>12</v>
      </c>
      <c r="O207" s="28">
        <v>13</v>
      </c>
      <c r="P207" s="28">
        <v>14</v>
      </c>
      <c r="Q207" s="28">
        <v>15</v>
      </c>
      <c r="R207" s="28">
        <v>16</v>
      </c>
      <c r="S207" s="28">
        <v>17</v>
      </c>
      <c r="T207" s="28">
        <v>18</v>
      </c>
      <c r="U207" s="8"/>
      <c r="V207" s="21"/>
      <c r="W207" s="21"/>
      <c r="X207" s="21"/>
    </row>
    <row r="208" spans="1:24" s="1" customFormat="1" ht="11.25" customHeight="1">
      <c r="A208" s="245" t="s">
        <v>93</v>
      </c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7"/>
      <c r="U208" s="9"/>
      <c r="V208" s="22"/>
      <c r="W208" s="22"/>
      <c r="X208" s="22"/>
    </row>
    <row r="209" spans="1:25" s="121" customFormat="1" ht="20.25" customHeight="1">
      <c r="A209" s="162" t="s">
        <v>58</v>
      </c>
      <c r="B209" s="223" t="s">
        <v>75</v>
      </c>
      <c r="C209" s="223"/>
      <c r="D209" s="163">
        <v>15</v>
      </c>
      <c r="E209" s="164">
        <v>6</v>
      </c>
      <c r="F209" s="164">
        <v>1</v>
      </c>
      <c r="G209" s="164">
        <v>0</v>
      </c>
      <c r="H209" s="164">
        <v>7.6</v>
      </c>
      <c r="I209" s="164">
        <v>34</v>
      </c>
      <c r="J209" s="164">
        <v>0.008</v>
      </c>
      <c r="K209" s="164">
        <v>0.007</v>
      </c>
      <c r="L209" s="164">
        <v>0.16</v>
      </c>
      <c r="M209" s="164">
        <v>0.008</v>
      </c>
      <c r="N209" s="164">
        <v>0.03</v>
      </c>
      <c r="O209" s="164">
        <v>51.16</v>
      </c>
      <c r="P209" s="164">
        <v>36.5</v>
      </c>
      <c r="Q209" s="164">
        <v>0.16</v>
      </c>
      <c r="R209" s="164">
        <v>0.002</v>
      </c>
      <c r="S209" s="164">
        <v>5.66</v>
      </c>
      <c r="T209" s="164">
        <v>0.03</v>
      </c>
      <c r="U209" s="68"/>
      <c r="V209" s="68"/>
      <c r="W209" s="68"/>
      <c r="X209" s="68"/>
      <c r="Y209" s="68"/>
    </row>
    <row r="210" spans="1:25" s="121" customFormat="1" ht="11.25" customHeight="1">
      <c r="A210" s="166">
        <v>222</v>
      </c>
      <c r="B210" s="218" t="s">
        <v>74</v>
      </c>
      <c r="C210" s="219"/>
      <c r="D210" s="163">
        <v>170</v>
      </c>
      <c r="E210" s="164">
        <v>51.85</v>
      </c>
      <c r="F210" s="67">
        <v>13.165</v>
      </c>
      <c r="G210" s="67">
        <v>12.68</v>
      </c>
      <c r="H210" s="67">
        <v>27.803</v>
      </c>
      <c r="I210" s="67">
        <v>278.065</v>
      </c>
      <c r="J210" s="67">
        <v>0.23</v>
      </c>
      <c r="K210" s="67">
        <v>0.36</v>
      </c>
      <c r="L210" s="67">
        <v>0.82</v>
      </c>
      <c r="M210" s="67">
        <v>0.18</v>
      </c>
      <c r="N210" s="67">
        <v>1.2</v>
      </c>
      <c r="O210" s="67">
        <v>190.55</v>
      </c>
      <c r="P210" s="67">
        <v>365.82</v>
      </c>
      <c r="Q210" s="67">
        <v>1.059</v>
      </c>
      <c r="R210" s="67">
        <v>0.018</v>
      </c>
      <c r="S210" s="67">
        <v>82.83</v>
      </c>
      <c r="T210" s="67">
        <v>2.23</v>
      </c>
      <c r="U210" s="68"/>
      <c r="V210" s="68"/>
      <c r="W210" s="68"/>
      <c r="X210" s="68"/>
      <c r="Y210" s="68"/>
    </row>
    <row r="211" spans="1:24" s="121" customFormat="1" ht="12.75" customHeight="1">
      <c r="A211" s="183">
        <v>377</v>
      </c>
      <c r="B211" s="212" t="s">
        <v>41</v>
      </c>
      <c r="C211" s="212"/>
      <c r="D211" s="139">
        <v>200</v>
      </c>
      <c r="E211" s="140">
        <v>3.81</v>
      </c>
      <c r="F211" s="140">
        <v>0.26</v>
      </c>
      <c r="G211" s="140">
        <v>0.06</v>
      </c>
      <c r="H211" s="140">
        <v>15.22</v>
      </c>
      <c r="I211" s="140">
        <f>F211*4+G211*9+H211*4</f>
        <v>62.46</v>
      </c>
      <c r="J211" s="140"/>
      <c r="K211" s="140">
        <v>0.01</v>
      </c>
      <c r="L211" s="140">
        <v>2.9</v>
      </c>
      <c r="M211" s="137">
        <v>0</v>
      </c>
      <c r="N211" s="140">
        <v>0.06</v>
      </c>
      <c r="O211" s="140">
        <v>8.05</v>
      </c>
      <c r="P211" s="140">
        <v>9.78</v>
      </c>
      <c r="Q211" s="140">
        <v>0.017</v>
      </c>
      <c r="R211" s="141">
        <v>0</v>
      </c>
      <c r="S211" s="140">
        <v>5.24</v>
      </c>
      <c r="T211" s="140">
        <v>0.87</v>
      </c>
      <c r="U211" s="142"/>
      <c r="V211" s="143"/>
      <c r="W211" s="143"/>
      <c r="X211" s="143"/>
    </row>
    <row r="212" spans="1:24" s="121" customFormat="1" ht="11.25" customHeight="1">
      <c r="A212" s="149">
        <v>338</v>
      </c>
      <c r="B212" s="212" t="s">
        <v>82</v>
      </c>
      <c r="C212" s="212"/>
      <c r="D212" s="139">
        <v>100</v>
      </c>
      <c r="E212" s="140">
        <v>11.34</v>
      </c>
      <c r="F212" s="140">
        <v>1.5</v>
      </c>
      <c r="G212" s="140">
        <v>0.5</v>
      </c>
      <c r="H212" s="140">
        <v>2.1</v>
      </c>
      <c r="I212" s="140">
        <v>94.5</v>
      </c>
      <c r="J212" s="140">
        <v>0.04</v>
      </c>
      <c r="K212" s="140">
        <v>0.02</v>
      </c>
      <c r="L212" s="139">
        <v>10</v>
      </c>
      <c r="M212" s="139">
        <v>0.02</v>
      </c>
      <c r="N212" s="140">
        <v>0.2</v>
      </c>
      <c r="O212" s="140">
        <v>16</v>
      </c>
      <c r="P212" s="140">
        <v>11</v>
      </c>
      <c r="Q212" s="139">
        <v>0.03</v>
      </c>
      <c r="R212" s="139">
        <v>0.002</v>
      </c>
      <c r="S212" s="140">
        <v>9</v>
      </c>
      <c r="T212" s="140">
        <v>2.2</v>
      </c>
      <c r="U212" s="142"/>
      <c r="V212" s="122"/>
      <c r="W212" s="122"/>
      <c r="X212" s="123"/>
    </row>
    <row r="213" spans="1:20" s="68" customFormat="1" ht="11.25" customHeight="1">
      <c r="A213" s="69"/>
      <c r="B213" s="193"/>
      <c r="C213" s="193"/>
      <c r="D213" s="70"/>
      <c r="E213" s="89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</row>
    <row r="214" spans="1:24" s="73" customFormat="1" ht="11.25" customHeight="1">
      <c r="A214" s="46" t="s">
        <v>95</v>
      </c>
      <c r="B214" s="47"/>
      <c r="C214" s="47"/>
      <c r="D214" s="135">
        <f>SUM(D209:D213)</f>
        <v>485</v>
      </c>
      <c r="E214" s="150">
        <f>SUM(E209:E213)</f>
        <v>73</v>
      </c>
      <c r="F214" s="150">
        <f aca="true" t="shared" si="56" ref="F214:T214">SUM(F209:F213)</f>
        <v>15.924999999999999</v>
      </c>
      <c r="G214" s="150">
        <f t="shared" si="56"/>
        <v>13.24</v>
      </c>
      <c r="H214" s="150">
        <f t="shared" si="56"/>
        <v>52.723</v>
      </c>
      <c r="I214" s="150">
        <f t="shared" si="56"/>
        <v>469.025</v>
      </c>
      <c r="J214" s="150">
        <f t="shared" si="56"/>
        <v>0.278</v>
      </c>
      <c r="K214" s="150">
        <f t="shared" si="56"/>
        <v>0.397</v>
      </c>
      <c r="L214" s="150">
        <f t="shared" si="56"/>
        <v>13.879999999999999</v>
      </c>
      <c r="M214" s="150">
        <f t="shared" si="56"/>
        <v>0.208</v>
      </c>
      <c r="N214" s="150">
        <f t="shared" si="56"/>
        <v>1.49</v>
      </c>
      <c r="O214" s="150">
        <f t="shared" si="56"/>
        <v>265.76</v>
      </c>
      <c r="P214" s="150">
        <f t="shared" si="56"/>
        <v>423.09999999999997</v>
      </c>
      <c r="Q214" s="150">
        <f t="shared" si="56"/>
        <v>1.2659999999999998</v>
      </c>
      <c r="R214" s="150">
        <f t="shared" si="56"/>
        <v>0.022</v>
      </c>
      <c r="S214" s="150">
        <f t="shared" si="56"/>
        <v>102.72999999999999</v>
      </c>
      <c r="T214" s="150">
        <f t="shared" si="56"/>
        <v>5.33</v>
      </c>
      <c r="U214" s="29"/>
      <c r="V214" s="74"/>
      <c r="W214" s="74"/>
      <c r="X214" s="74"/>
    </row>
    <row r="215" spans="1:24" s="73" customFormat="1" ht="11.25" customHeight="1">
      <c r="A215" s="225" t="s">
        <v>55</v>
      </c>
      <c r="B215" s="226"/>
      <c r="C215" s="226"/>
      <c r="D215" s="227"/>
      <c r="E215" s="174"/>
      <c r="F215" s="148">
        <f aca="true" t="shared" si="57" ref="F215:T215">F214/F232</f>
        <v>0.17694444444444443</v>
      </c>
      <c r="G215" s="130">
        <f t="shared" si="57"/>
        <v>0.14391304347826087</v>
      </c>
      <c r="H215" s="130">
        <f t="shared" si="57"/>
        <v>0.13765796344647518</v>
      </c>
      <c r="I215" s="130">
        <f t="shared" si="57"/>
        <v>0.17243566176470587</v>
      </c>
      <c r="J215" s="130">
        <f t="shared" si="57"/>
        <v>0.1985714285714286</v>
      </c>
      <c r="K215" s="130">
        <f t="shared" si="57"/>
        <v>0.248125</v>
      </c>
      <c r="L215" s="130">
        <f t="shared" si="57"/>
        <v>0.19828571428571426</v>
      </c>
      <c r="M215" s="130">
        <f t="shared" si="57"/>
        <v>0.2311111111111111</v>
      </c>
      <c r="N215" s="130">
        <f t="shared" si="57"/>
        <v>0.12416666666666666</v>
      </c>
      <c r="O215" s="130">
        <f t="shared" si="57"/>
        <v>0.22146666666666667</v>
      </c>
      <c r="P215" s="130">
        <f t="shared" si="57"/>
        <v>0.3525833333333333</v>
      </c>
      <c r="Q215" s="130">
        <f t="shared" si="57"/>
        <v>0.09042857142857141</v>
      </c>
      <c r="R215" s="130">
        <f t="shared" si="57"/>
        <v>0.21999999999999997</v>
      </c>
      <c r="S215" s="130">
        <f t="shared" si="57"/>
        <v>0.3424333333333333</v>
      </c>
      <c r="T215" s="130">
        <f t="shared" si="57"/>
        <v>0.2961111111111111</v>
      </c>
      <c r="U215" s="76"/>
      <c r="V215" s="74"/>
      <c r="W215" s="74"/>
      <c r="X215" s="74"/>
    </row>
    <row r="216" spans="1:24" s="73" customFormat="1" ht="11.25" customHeight="1">
      <c r="A216" s="242" t="s">
        <v>24</v>
      </c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4"/>
      <c r="U216" s="14"/>
      <c r="V216" s="24"/>
      <c r="W216" s="24"/>
      <c r="X216" s="24"/>
    </row>
    <row r="217" spans="1:24" s="99" customFormat="1" ht="20.25" customHeight="1">
      <c r="A217" s="136">
        <v>71</v>
      </c>
      <c r="B217" s="208" t="s">
        <v>99</v>
      </c>
      <c r="C217" s="209"/>
      <c r="D217" s="145">
        <v>88</v>
      </c>
      <c r="E217" s="145">
        <v>15.11</v>
      </c>
      <c r="F217" s="173">
        <f>0.5*D217/60</f>
        <v>0.7333333333333333</v>
      </c>
      <c r="G217" s="173">
        <f>0.03*D217/30</f>
        <v>0.088</v>
      </c>
      <c r="H217" s="173">
        <f>1.7*D217/60</f>
        <v>2.493333333333333</v>
      </c>
      <c r="I217" s="173">
        <f>F217*4+G217*9+H217*4</f>
        <v>13.698666666666666</v>
      </c>
      <c r="J217" s="146">
        <v>0.009</v>
      </c>
      <c r="K217" s="173">
        <v>0.01</v>
      </c>
      <c r="L217" s="147">
        <v>3</v>
      </c>
      <c r="M217" s="146">
        <v>0.003</v>
      </c>
      <c r="N217" s="145">
        <v>0.03</v>
      </c>
      <c r="O217" s="173">
        <v>6.9</v>
      </c>
      <c r="P217" s="173">
        <v>12.6</v>
      </c>
      <c r="Q217" s="146">
        <v>0.064</v>
      </c>
      <c r="R217" s="146">
        <v>0.001</v>
      </c>
      <c r="S217" s="173">
        <v>4.2</v>
      </c>
      <c r="T217" s="173">
        <v>0.18</v>
      </c>
      <c r="U217" s="102"/>
      <c r="V217" s="103"/>
      <c r="W217" s="103"/>
      <c r="X217" s="103"/>
    </row>
    <row r="218" spans="1:24" s="154" customFormat="1" ht="15" customHeight="1">
      <c r="A218" s="183">
        <v>102</v>
      </c>
      <c r="B218" s="208" t="s">
        <v>70</v>
      </c>
      <c r="C218" s="209"/>
      <c r="D218" s="137">
        <v>250</v>
      </c>
      <c r="E218" s="140">
        <v>10.45</v>
      </c>
      <c r="F218" s="140">
        <v>6.22</v>
      </c>
      <c r="G218" s="140">
        <v>3.99</v>
      </c>
      <c r="H218" s="140">
        <v>21.73</v>
      </c>
      <c r="I218" s="140">
        <v>147.71</v>
      </c>
      <c r="J218" s="140">
        <v>0.27</v>
      </c>
      <c r="K218" s="140">
        <v>0.09</v>
      </c>
      <c r="L218" s="140">
        <v>9</v>
      </c>
      <c r="M218" s="141">
        <v>0.001</v>
      </c>
      <c r="N218" s="140">
        <v>0.257</v>
      </c>
      <c r="O218" s="140">
        <v>54.13</v>
      </c>
      <c r="P218" s="140">
        <v>183.2</v>
      </c>
      <c r="Q218" s="140">
        <v>1.157</v>
      </c>
      <c r="R218" s="141">
        <v>0.013</v>
      </c>
      <c r="S218" s="140">
        <v>49.63</v>
      </c>
      <c r="T218" s="140">
        <v>1.03</v>
      </c>
      <c r="U218" s="152"/>
      <c r="V218" s="153"/>
      <c r="W218" s="153"/>
      <c r="X218" s="153"/>
    </row>
    <row r="219" spans="1:24" s="154" customFormat="1" ht="12.75" customHeight="1">
      <c r="A219" s="183">
        <v>293</v>
      </c>
      <c r="B219" s="208" t="s">
        <v>79</v>
      </c>
      <c r="C219" s="209"/>
      <c r="D219" s="139">
        <v>110</v>
      </c>
      <c r="E219" s="140">
        <v>44.04</v>
      </c>
      <c r="F219" s="140">
        <v>33.09</v>
      </c>
      <c r="G219" s="140">
        <v>27.34</v>
      </c>
      <c r="H219" s="140">
        <v>8.82</v>
      </c>
      <c r="I219" s="140">
        <v>414.37</v>
      </c>
      <c r="J219" s="140">
        <v>0.09</v>
      </c>
      <c r="K219" s="140">
        <v>0</v>
      </c>
      <c r="L219" s="140">
        <v>0.045</v>
      </c>
      <c r="M219" s="139">
        <v>80.62</v>
      </c>
      <c r="N219" s="137">
        <v>0</v>
      </c>
      <c r="O219" s="138">
        <v>102.19</v>
      </c>
      <c r="P219" s="140">
        <v>249.19</v>
      </c>
      <c r="Q219" s="139">
        <v>0</v>
      </c>
      <c r="R219" s="139">
        <v>0</v>
      </c>
      <c r="S219" s="140">
        <v>38.07</v>
      </c>
      <c r="T219" s="140">
        <v>3.04</v>
      </c>
      <c r="U219" s="152"/>
      <c r="V219" s="153"/>
      <c r="W219" s="153"/>
      <c r="X219" s="153"/>
    </row>
    <row r="220" spans="1:24" s="154" customFormat="1" ht="12.75" customHeight="1">
      <c r="A220" s="144">
        <v>171</v>
      </c>
      <c r="B220" s="208" t="s">
        <v>22</v>
      </c>
      <c r="C220" s="209"/>
      <c r="D220" s="139">
        <v>180</v>
      </c>
      <c r="E220" s="140">
        <v>14.6</v>
      </c>
      <c r="F220" s="140">
        <f>6.57*D220/150</f>
        <v>7.884000000000001</v>
      </c>
      <c r="G220" s="140">
        <f>4.19*D220/150</f>
        <v>5.0280000000000005</v>
      </c>
      <c r="H220" s="140">
        <f>32.32*D220/150</f>
        <v>38.784</v>
      </c>
      <c r="I220" s="140">
        <f>F220*4+G220*9+H220*4</f>
        <v>231.924</v>
      </c>
      <c r="J220" s="141">
        <f>0.06*D220/150</f>
        <v>0.072</v>
      </c>
      <c r="K220" s="141">
        <f>0.03*D220/150</f>
        <v>0.036</v>
      </c>
      <c r="L220" s="137">
        <v>0</v>
      </c>
      <c r="M220" s="141">
        <f>0.03*D220/150</f>
        <v>0.036</v>
      </c>
      <c r="N220" s="137">
        <f>2.55*D220/150</f>
        <v>3.0599999999999996</v>
      </c>
      <c r="O220" s="140">
        <f>18.12*D220/150</f>
        <v>21.744000000000003</v>
      </c>
      <c r="P220" s="140">
        <f>157.03*D220/150</f>
        <v>188.436</v>
      </c>
      <c r="Q220" s="141">
        <f>0.8874*D220/150</f>
        <v>1.06488</v>
      </c>
      <c r="R220" s="141">
        <f>0.00135*D220/150</f>
        <v>0.0016200000000000001</v>
      </c>
      <c r="S220" s="140">
        <f>104.45*D220/150</f>
        <v>125.34</v>
      </c>
      <c r="T220" s="140">
        <f>3.55*D220/150</f>
        <v>4.26</v>
      </c>
      <c r="U220" s="152"/>
      <c r="V220" s="153"/>
      <c r="W220" s="153"/>
      <c r="X220" s="153"/>
    </row>
    <row r="221" spans="1:20" s="158" customFormat="1" ht="11.25">
      <c r="A221" s="90">
        <v>699</v>
      </c>
      <c r="B221" s="248" t="s">
        <v>88</v>
      </c>
      <c r="C221" s="249"/>
      <c r="D221" s="80">
        <v>200</v>
      </c>
      <c r="E221" s="81">
        <v>5.2</v>
      </c>
      <c r="F221" s="81">
        <v>0.1</v>
      </c>
      <c r="G221" s="82">
        <v>0</v>
      </c>
      <c r="H221" s="83">
        <v>15.7</v>
      </c>
      <c r="I221" s="81">
        <v>63.2</v>
      </c>
      <c r="J221" s="82">
        <v>0.018</v>
      </c>
      <c r="K221" s="82">
        <v>0.012</v>
      </c>
      <c r="L221" s="83">
        <v>8</v>
      </c>
      <c r="M221" s="82">
        <v>0</v>
      </c>
      <c r="N221" s="81">
        <v>0.2</v>
      </c>
      <c r="O221" s="81">
        <v>10.8</v>
      </c>
      <c r="P221" s="81">
        <v>1.7</v>
      </c>
      <c r="Q221" s="81">
        <v>0</v>
      </c>
      <c r="R221" s="84">
        <v>0</v>
      </c>
      <c r="S221" s="81">
        <v>5.8</v>
      </c>
      <c r="T221" s="81">
        <v>1.6</v>
      </c>
    </row>
    <row r="222" spans="1:24" s="154" customFormat="1" ht="11.25" customHeight="1">
      <c r="A222" s="52" t="s">
        <v>58</v>
      </c>
      <c r="B222" s="208" t="s">
        <v>42</v>
      </c>
      <c r="C222" s="209"/>
      <c r="D222" s="139">
        <v>40</v>
      </c>
      <c r="E222" s="140">
        <v>2.08</v>
      </c>
      <c r="F222" s="140">
        <f>2.64*D222/40</f>
        <v>2.64</v>
      </c>
      <c r="G222" s="140">
        <f>0.48*D222/40</f>
        <v>0.48</v>
      </c>
      <c r="H222" s="140">
        <f>13.68*D222/40</f>
        <v>13.680000000000001</v>
      </c>
      <c r="I222" s="138">
        <f>F222*4+G222*9+H222*4</f>
        <v>69.60000000000001</v>
      </c>
      <c r="J222" s="137">
        <f>0.08*D222/40</f>
        <v>0.08</v>
      </c>
      <c r="K222" s="140">
        <f>0.04*D222/40</f>
        <v>0.04</v>
      </c>
      <c r="L222" s="139">
        <v>0</v>
      </c>
      <c r="M222" s="139">
        <v>0</v>
      </c>
      <c r="N222" s="140">
        <f>2.4*D222/40</f>
        <v>2.4</v>
      </c>
      <c r="O222" s="140">
        <f>14*D222/40</f>
        <v>14</v>
      </c>
      <c r="P222" s="140">
        <f>63.2*D222/40</f>
        <v>63.2</v>
      </c>
      <c r="Q222" s="140">
        <f>1.2*D222/40</f>
        <v>1.2</v>
      </c>
      <c r="R222" s="141">
        <f>0.001*D222/40</f>
        <v>0.001</v>
      </c>
      <c r="S222" s="140">
        <f>9.4*D222/40</f>
        <v>9.4</v>
      </c>
      <c r="T222" s="137">
        <f>0.78*D222/40</f>
        <v>0.78</v>
      </c>
      <c r="U222" s="160"/>
      <c r="V222" s="161"/>
      <c r="W222" s="161"/>
      <c r="X222" s="161"/>
    </row>
    <row r="223" spans="1:24" s="73" customFormat="1" ht="11.25" customHeight="1">
      <c r="A223" s="144" t="s">
        <v>58</v>
      </c>
      <c r="B223" s="208" t="s">
        <v>47</v>
      </c>
      <c r="C223" s="209"/>
      <c r="D223" s="139">
        <v>30</v>
      </c>
      <c r="E223" s="140">
        <v>2.52</v>
      </c>
      <c r="F223" s="140">
        <f>1.52*D223/30</f>
        <v>1.52</v>
      </c>
      <c r="G223" s="141">
        <f>0.16*D223/30</f>
        <v>0.16</v>
      </c>
      <c r="H223" s="141">
        <f>9.84*D223/30</f>
        <v>9.84</v>
      </c>
      <c r="I223" s="141">
        <f>F223*4+G223*9+H223*4</f>
        <v>46.879999999999995</v>
      </c>
      <c r="J223" s="141">
        <f>0.02*D223/30</f>
        <v>0.02</v>
      </c>
      <c r="K223" s="141">
        <f>0.01*D223/30</f>
        <v>0.01</v>
      </c>
      <c r="L223" s="141">
        <f>0.44*D223/30</f>
        <v>0.44</v>
      </c>
      <c r="M223" s="141">
        <v>0</v>
      </c>
      <c r="N223" s="141">
        <f>0.7*D223/30</f>
        <v>0.7</v>
      </c>
      <c r="O223" s="141">
        <f>4*D223/30</f>
        <v>4</v>
      </c>
      <c r="P223" s="141">
        <f>13*D223/30</f>
        <v>13</v>
      </c>
      <c r="Q223" s="141">
        <f>0.008*D223/30</f>
        <v>0.008</v>
      </c>
      <c r="R223" s="141">
        <f>0.001*D223/30</f>
        <v>0.001</v>
      </c>
      <c r="S223" s="141">
        <v>0</v>
      </c>
      <c r="T223" s="141">
        <f>0.22*D223/30</f>
        <v>0.22</v>
      </c>
      <c r="U223" s="77"/>
      <c r="V223" s="78"/>
      <c r="W223" s="78"/>
      <c r="X223" s="78"/>
    </row>
    <row r="224" spans="1:24" s="73" customFormat="1" ht="22.5" customHeight="1">
      <c r="A224" s="133" t="s">
        <v>25</v>
      </c>
      <c r="B224" s="134"/>
      <c r="C224" s="134"/>
      <c r="D224" s="61">
        <f aca="true" t="shared" si="58" ref="D224:I224">SUM(D217:D223)</f>
        <v>898</v>
      </c>
      <c r="E224" s="170">
        <f t="shared" si="58"/>
        <v>93.99999999999999</v>
      </c>
      <c r="F224" s="127">
        <f t="shared" si="58"/>
        <v>52.18733333333334</v>
      </c>
      <c r="G224" s="126">
        <f t="shared" si="58"/>
        <v>37.08599999999999</v>
      </c>
      <c r="H224" s="126">
        <f t="shared" si="58"/>
        <v>111.04733333333336</v>
      </c>
      <c r="I224" s="126">
        <f t="shared" si="58"/>
        <v>987.3826666666668</v>
      </c>
      <c r="J224" s="127">
        <f aca="true" t="shared" si="59" ref="J224:T224">SUM(J217:J223)</f>
        <v>0.559</v>
      </c>
      <c r="K224" s="127">
        <f t="shared" si="59"/>
        <v>0.198</v>
      </c>
      <c r="L224" s="126">
        <f t="shared" si="59"/>
        <v>20.485000000000003</v>
      </c>
      <c r="M224" s="127">
        <f t="shared" si="59"/>
        <v>80.66000000000001</v>
      </c>
      <c r="N224" s="128">
        <f t="shared" si="59"/>
        <v>6.646999999999999</v>
      </c>
      <c r="O224" s="127">
        <f t="shared" si="59"/>
        <v>213.764</v>
      </c>
      <c r="P224" s="126">
        <f t="shared" si="59"/>
        <v>711.3260000000001</v>
      </c>
      <c r="Q224" s="127">
        <f t="shared" si="59"/>
        <v>3.49388</v>
      </c>
      <c r="R224" s="127">
        <f t="shared" si="59"/>
        <v>0.01762</v>
      </c>
      <c r="S224" s="127">
        <f t="shared" si="59"/>
        <v>232.44000000000003</v>
      </c>
      <c r="T224" s="127">
        <f t="shared" si="59"/>
        <v>11.11</v>
      </c>
      <c r="U224" s="29"/>
      <c r="V224" s="74"/>
      <c r="W224" s="74"/>
      <c r="X224" s="74"/>
    </row>
    <row r="225" spans="1:24" s="73" customFormat="1" ht="11.25">
      <c r="A225" s="225" t="s">
        <v>55</v>
      </c>
      <c r="B225" s="226"/>
      <c r="C225" s="226"/>
      <c r="D225" s="227"/>
      <c r="E225" s="174"/>
      <c r="F225" s="148">
        <f aca="true" t="shared" si="60" ref="F225:T225">F224/F232</f>
        <v>0.5798592592592594</v>
      </c>
      <c r="G225" s="130">
        <f t="shared" si="60"/>
        <v>0.40310869565217383</v>
      </c>
      <c r="H225" s="130">
        <f t="shared" si="60"/>
        <v>0.28994081810269806</v>
      </c>
      <c r="I225" s="130">
        <f t="shared" si="60"/>
        <v>0.3630083333333334</v>
      </c>
      <c r="J225" s="130">
        <f t="shared" si="60"/>
        <v>0.39928571428571435</v>
      </c>
      <c r="K225" s="130">
        <f t="shared" si="60"/>
        <v>0.12375</v>
      </c>
      <c r="L225" s="130">
        <f t="shared" si="60"/>
        <v>0.2926428571428572</v>
      </c>
      <c r="M225" s="130">
        <f t="shared" si="60"/>
        <v>89.62222222222223</v>
      </c>
      <c r="N225" s="130">
        <f t="shared" si="60"/>
        <v>0.5539166666666666</v>
      </c>
      <c r="O225" s="130">
        <f t="shared" si="60"/>
        <v>0.17813666666666667</v>
      </c>
      <c r="P225" s="130">
        <f t="shared" si="60"/>
        <v>0.5927716666666668</v>
      </c>
      <c r="Q225" s="130">
        <f t="shared" si="60"/>
        <v>0.24956285714285714</v>
      </c>
      <c r="R225" s="130">
        <f t="shared" si="60"/>
        <v>0.1762</v>
      </c>
      <c r="S225" s="130">
        <f t="shared" si="60"/>
        <v>0.7748</v>
      </c>
      <c r="T225" s="130">
        <f t="shared" si="60"/>
        <v>0.6172222222222222</v>
      </c>
      <c r="U225" s="76"/>
      <c r="V225" s="74"/>
      <c r="W225" s="74"/>
      <c r="X225" s="74"/>
    </row>
    <row r="226" spans="1:24" s="73" customFormat="1" ht="15" customHeight="1">
      <c r="A226" s="256" t="s">
        <v>26</v>
      </c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8"/>
      <c r="U226" s="9"/>
      <c r="V226" s="22"/>
      <c r="W226" s="22"/>
      <c r="X226" s="22"/>
    </row>
    <row r="227" spans="1:20" s="68" customFormat="1" ht="11.25" customHeight="1">
      <c r="A227" s="166"/>
      <c r="B227" s="252"/>
      <c r="C227" s="253"/>
      <c r="D227" s="163"/>
      <c r="E227" s="164"/>
      <c r="F227" s="164"/>
      <c r="G227" s="164"/>
      <c r="H227" s="164"/>
      <c r="I227" s="164"/>
      <c r="J227" s="164"/>
      <c r="K227" s="164"/>
      <c r="L227" s="169"/>
      <c r="M227" s="164"/>
      <c r="N227" s="168"/>
      <c r="O227" s="169"/>
      <c r="P227" s="164"/>
      <c r="Q227" s="169"/>
      <c r="R227" s="163"/>
      <c r="S227" s="164"/>
      <c r="T227" s="164"/>
    </row>
    <row r="228" spans="1:20" s="68" customFormat="1" ht="11.25" customHeight="1">
      <c r="A228" s="87"/>
      <c r="B228" s="259"/>
      <c r="C228" s="260"/>
      <c r="D228" s="71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</row>
    <row r="229" spans="1:24" s="1" customFormat="1" ht="11.25" customHeight="1">
      <c r="A229" s="133" t="s">
        <v>27</v>
      </c>
      <c r="B229" s="134"/>
      <c r="C229" s="134"/>
      <c r="D229" s="135">
        <f aca="true" t="shared" si="61" ref="D229:T229">SUM(D227:D228)</f>
        <v>0</v>
      </c>
      <c r="E229" s="150">
        <f t="shared" si="61"/>
        <v>0</v>
      </c>
      <c r="F229" s="127">
        <f t="shared" si="61"/>
        <v>0</v>
      </c>
      <c r="G229" s="126">
        <f t="shared" si="61"/>
        <v>0</v>
      </c>
      <c r="H229" s="126">
        <f t="shared" si="61"/>
        <v>0</v>
      </c>
      <c r="I229" s="126">
        <f t="shared" si="61"/>
        <v>0</v>
      </c>
      <c r="J229" s="126">
        <f t="shared" si="61"/>
        <v>0</v>
      </c>
      <c r="K229" s="126">
        <f t="shared" si="61"/>
        <v>0</v>
      </c>
      <c r="L229" s="126">
        <f t="shared" si="61"/>
        <v>0</v>
      </c>
      <c r="M229" s="126">
        <f t="shared" si="61"/>
        <v>0</v>
      </c>
      <c r="N229" s="126">
        <f t="shared" si="61"/>
        <v>0</v>
      </c>
      <c r="O229" s="126">
        <f t="shared" si="61"/>
        <v>0</v>
      </c>
      <c r="P229" s="126">
        <f t="shared" si="61"/>
        <v>0</v>
      </c>
      <c r="Q229" s="126">
        <f t="shared" si="61"/>
        <v>0</v>
      </c>
      <c r="R229" s="128">
        <f t="shared" si="61"/>
        <v>0</v>
      </c>
      <c r="S229" s="126">
        <f t="shared" si="61"/>
        <v>0</v>
      </c>
      <c r="T229" s="126">
        <f t="shared" si="61"/>
        <v>0</v>
      </c>
      <c r="U229" s="29"/>
      <c r="V229" s="74"/>
      <c r="W229" s="74"/>
      <c r="X229" s="74"/>
    </row>
    <row r="230" spans="1:24" s="1" customFormat="1" ht="11.25" customHeight="1">
      <c r="A230" s="225" t="s">
        <v>55</v>
      </c>
      <c r="B230" s="226"/>
      <c r="C230" s="226"/>
      <c r="D230" s="227"/>
      <c r="E230" s="175"/>
      <c r="F230" s="51">
        <f>F229/F232</f>
        <v>0</v>
      </c>
      <c r="G230" s="130">
        <f aca="true" t="shared" si="62" ref="G230:T230">G229/G232</f>
        <v>0</v>
      </c>
      <c r="H230" s="130">
        <f t="shared" si="62"/>
        <v>0</v>
      </c>
      <c r="I230" s="130">
        <f t="shared" si="62"/>
        <v>0</v>
      </c>
      <c r="J230" s="130">
        <f t="shared" si="62"/>
        <v>0</v>
      </c>
      <c r="K230" s="130">
        <f t="shared" si="62"/>
        <v>0</v>
      </c>
      <c r="L230" s="130">
        <f t="shared" si="62"/>
        <v>0</v>
      </c>
      <c r="M230" s="130">
        <f t="shared" si="62"/>
        <v>0</v>
      </c>
      <c r="N230" s="130">
        <f t="shared" si="62"/>
        <v>0</v>
      </c>
      <c r="O230" s="130">
        <f t="shared" si="62"/>
        <v>0</v>
      </c>
      <c r="P230" s="130">
        <f t="shared" si="62"/>
        <v>0</v>
      </c>
      <c r="Q230" s="130">
        <f t="shared" si="62"/>
        <v>0</v>
      </c>
      <c r="R230" s="130">
        <f t="shared" si="62"/>
        <v>0</v>
      </c>
      <c r="S230" s="130">
        <f t="shared" si="62"/>
        <v>0</v>
      </c>
      <c r="T230" s="130">
        <f t="shared" si="62"/>
        <v>0</v>
      </c>
      <c r="U230" s="76"/>
      <c r="V230" s="74"/>
      <c r="W230" s="74"/>
      <c r="X230" s="74"/>
    </row>
    <row r="231" spans="1:24" s="1" customFormat="1" ht="11.25" customHeight="1">
      <c r="A231" s="133" t="s">
        <v>54</v>
      </c>
      <c r="B231" s="134"/>
      <c r="C231" s="134"/>
      <c r="D231" s="61">
        <f>D224+D214</f>
        <v>1383</v>
      </c>
      <c r="E231" s="151">
        <f>E224+E214</f>
        <v>167</v>
      </c>
      <c r="F231" s="127">
        <f aca="true" t="shared" si="63" ref="F231:T231">SUM(F214,F224,F229)</f>
        <v>68.11233333333334</v>
      </c>
      <c r="G231" s="126">
        <f t="shared" si="63"/>
        <v>50.32599999999999</v>
      </c>
      <c r="H231" s="126">
        <f t="shared" si="63"/>
        <v>163.77033333333335</v>
      </c>
      <c r="I231" s="126">
        <f t="shared" si="63"/>
        <v>1456.4076666666667</v>
      </c>
      <c r="J231" s="127">
        <f t="shared" si="63"/>
        <v>0.8370000000000001</v>
      </c>
      <c r="K231" s="127">
        <f t="shared" si="63"/>
        <v>0.595</v>
      </c>
      <c r="L231" s="126">
        <f t="shared" si="63"/>
        <v>34.365</v>
      </c>
      <c r="M231" s="127">
        <f t="shared" si="63"/>
        <v>80.86800000000001</v>
      </c>
      <c r="N231" s="127">
        <f t="shared" si="63"/>
        <v>8.136999999999999</v>
      </c>
      <c r="O231" s="126">
        <f t="shared" si="63"/>
        <v>479.524</v>
      </c>
      <c r="P231" s="126">
        <f t="shared" si="63"/>
        <v>1134.4260000000002</v>
      </c>
      <c r="Q231" s="127">
        <f t="shared" si="63"/>
        <v>4.75988</v>
      </c>
      <c r="R231" s="128">
        <f t="shared" si="63"/>
        <v>0.03962</v>
      </c>
      <c r="S231" s="127">
        <f t="shared" si="63"/>
        <v>335.17</v>
      </c>
      <c r="T231" s="127">
        <f t="shared" si="63"/>
        <v>16.439999999999998</v>
      </c>
      <c r="U231" s="31"/>
      <c r="V231" s="74"/>
      <c r="W231" s="74"/>
      <c r="X231" s="74"/>
    </row>
    <row r="232" spans="1:24" s="1" customFormat="1" ht="11.25" customHeight="1">
      <c r="A232" s="201" t="s">
        <v>56</v>
      </c>
      <c r="B232" s="202"/>
      <c r="C232" s="202"/>
      <c r="D232" s="203"/>
      <c r="E232" s="180"/>
      <c r="F232" s="140">
        <v>90</v>
      </c>
      <c r="G232" s="138">
        <v>92</v>
      </c>
      <c r="H232" s="138">
        <v>383</v>
      </c>
      <c r="I232" s="138">
        <v>2720</v>
      </c>
      <c r="J232" s="140">
        <v>1.4</v>
      </c>
      <c r="K232" s="140">
        <v>1.6</v>
      </c>
      <c r="L232" s="139">
        <v>70</v>
      </c>
      <c r="M232" s="140">
        <v>0.9</v>
      </c>
      <c r="N232" s="139">
        <v>12</v>
      </c>
      <c r="O232" s="139">
        <v>1200</v>
      </c>
      <c r="P232" s="139">
        <v>1200</v>
      </c>
      <c r="Q232" s="139">
        <v>14</v>
      </c>
      <c r="R232" s="138">
        <v>0.1</v>
      </c>
      <c r="S232" s="139">
        <v>300</v>
      </c>
      <c r="T232" s="140">
        <v>18</v>
      </c>
      <c r="U232" s="77"/>
      <c r="V232" s="78"/>
      <c r="W232" s="78"/>
      <c r="X232" s="78"/>
    </row>
    <row r="233" spans="1:24" s="1" customFormat="1" ht="11.25" customHeight="1">
      <c r="A233" s="225" t="s">
        <v>55</v>
      </c>
      <c r="B233" s="226"/>
      <c r="C233" s="226"/>
      <c r="D233" s="227"/>
      <c r="E233" s="175"/>
      <c r="F233" s="51">
        <f aca="true" t="shared" si="64" ref="F233:T233">F231/F232</f>
        <v>0.7568037037037038</v>
      </c>
      <c r="G233" s="130">
        <f t="shared" si="64"/>
        <v>0.5470217391304347</v>
      </c>
      <c r="H233" s="130">
        <f t="shared" si="64"/>
        <v>0.42759878154917325</v>
      </c>
      <c r="I233" s="130">
        <f t="shared" si="64"/>
        <v>0.5354439950980392</v>
      </c>
      <c r="J233" s="130">
        <f t="shared" si="64"/>
        <v>0.597857142857143</v>
      </c>
      <c r="K233" s="130">
        <f t="shared" si="64"/>
        <v>0.37187499999999996</v>
      </c>
      <c r="L233" s="130">
        <f t="shared" si="64"/>
        <v>0.49092857142857144</v>
      </c>
      <c r="M233" s="33">
        <f t="shared" si="64"/>
        <v>89.85333333333334</v>
      </c>
      <c r="N233" s="130">
        <f t="shared" si="64"/>
        <v>0.6780833333333333</v>
      </c>
      <c r="O233" s="130">
        <f t="shared" si="64"/>
        <v>0.3996033333333333</v>
      </c>
      <c r="P233" s="130">
        <f t="shared" si="64"/>
        <v>0.9453550000000002</v>
      </c>
      <c r="Q233" s="130">
        <f t="shared" si="64"/>
        <v>0.33999142857142856</v>
      </c>
      <c r="R233" s="33">
        <f t="shared" si="64"/>
        <v>0.3962</v>
      </c>
      <c r="S233" s="130">
        <f t="shared" si="64"/>
        <v>1.1172333333333333</v>
      </c>
      <c r="T233" s="33">
        <f t="shared" si="64"/>
        <v>0.9133333333333332</v>
      </c>
      <c r="U233" s="34"/>
      <c r="V233" s="35"/>
      <c r="W233" s="35"/>
      <c r="X233" s="35"/>
    </row>
    <row r="234" spans="1:24" s="1" customFormat="1" ht="11.25" customHeight="1">
      <c r="A234" s="222" t="s">
        <v>38</v>
      </c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11"/>
      <c r="V234" s="23"/>
      <c r="W234" s="23"/>
      <c r="X234" s="23"/>
    </row>
    <row r="235" spans="1:24" s="1" customFormat="1" ht="11.25" customHeight="1">
      <c r="A235" s="43" t="s">
        <v>49</v>
      </c>
      <c r="B235" s="41"/>
      <c r="C235" s="41"/>
      <c r="D235" s="2"/>
      <c r="E235" s="2"/>
      <c r="F235" s="119"/>
      <c r="G235" s="196" t="s">
        <v>31</v>
      </c>
      <c r="H235" s="196"/>
      <c r="I235" s="196"/>
      <c r="J235" s="121"/>
      <c r="K235" s="121"/>
      <c r="L235" s="215" t="s">
        <v>1</v>
      </c>
      <c r="M235" s="215"/>
      <c r="N235" s="214" t="str">
        <f>N203</f>
        <v>весенне-летний</v>
      </c>
      <c r="O235" s="214"/>
      <c r="P235" s="214"/>
      <c r="Q235" s="214"/>
      <c r="R235" s="121"/>
      <c r="S235" s="121"/>
      <c r="T235" s="121"/>
      <c r="U235" s="12"/>
      <c r="V235" s="18"/>
      <c r="W235" s="18"/>
      <c r="X235" s="18"/>
    </row>
    <row r="236" spans="1:24" s="1" customFormat="1" ht="11.25" customHeight="1">
      <c r="A236" s="41"/>
      <c r="B236" s="41"/>
      <c r="C236" s="41"/>
      <c r="D236" s="229" t="s">
        <v>2</v>
      </c>
      <c r="E236" s="229"/>
      <c r="F236" s="229"/>
      <c r="G236" s="5">
        <v>2</v>
      </c>
      <c r="H236" s="121"/>
      <c r="I236" s="2"/>
      <c r="J236" s="2"/>
      <c r="K236" s="2"/>
      <c r="L236" s="229" t="s">
        <v>3</v>
      </c>
      <c r="M236" s="229"/>
      <c r="N236" s="196" t="str">
        <f>N204</f>
        <v>с 7-11 лет;12 и старше</v>
      </c>
      <c r="O236" s="196"/>
      <c r="P236" s="196"/>
      <c r="Q236" s="196"/>
      <c r="R236" s="196"/>
      <c r="S236" s="196"/>
      <c r="T236" s="196"/>
      <c r="U236" s="13"/>
      <c r="V236" s="19"/>
      <c r="W236" s="19"/>
      <c r="X236" s="19"/>
    </row>
    <row r="237" spans="1:24" s="1" customFormat="1" ht="21.75" customHeight="1">
      <c r="A237" s="216" t="s">
        <v>4</v>
      </c>
      <c r="B237" s="197" t="s">
        <v>5</v>
      </c>
      <c r="C237" s="198"/>
      <c r="D237" s="216" t="s">
        <v>6</v>
      </c>
      <c r="E237" s="178"/>
      <c r="F237" s="204" t="s">
        <v>7</v>
      </c>
      <c r="G237" s="205"/>
      <c r="H237" s="206"/>
      <c r="I237" s="216" t="s">
        <v>8</v>
      </c>
      <c r="J237" s="204" t="s">
        <v>9</v>
      </c>
      <c r="K237" s="205"/>
      <c r="L237" s="205"/>
      <c r="M237" s="205"/>
      <c r="N237" s="206"/>
      <c r="O237" s="204" t="s">
        <v>10</v>
      </c>
      <c r="P237" s="205"/>
      <c r="Q237" s="205"/>
      <c r="R237" s="205"/>
      <c r="S237" s="205"/>
      <c r="T237" s="206"/>
      <c r="U237" s="7"/>
      <c r="V237" s="20"/>
      <c r="W237" s="20"/>
      <c r="X237" s="20"/>
    </row>
    <row r="238" spans="1:24" s="1" customFormat="1" ht="21" customHeight="1">
      <c r="A238" s="217"/>
      <c r="B238" s="199"/>
      <c r="C238" s="200"/>
      <c r="D238" s="217"/>
      <c r="E238" s="177"/>
      <c r="F238" s="57" t="s">
        <v>11</v>
      </c>
      <c r="G238" s="182" t="s">
        <v>12</v>
      </c>
      <c r="H238" s="182" t="s">
        <v>13</v>
      </c>
      <c r="I238" s="217"/>
      <c r="J238" s="182" t="s">
        <v>14</v>
      </c>
      <c r="K238" s="182" t="s">
        <v>50</v>
      </c>
      <c r="L238" s="182" t="s">
        <v>15</v>
      </c>
      <c r="M238" s="182" t="s">
        <v>16</v>
      </c>
      <c r="N238" s="182" t="s">
        <v>17</v>
      </c>
      <c r="O238" s="182" t="s">
        <v>18</v>
      </c>
      <c r="P238" s="182" t="s">
        <v>19</v>
      </c>
      <c r="Q238" s="182" t="s">
        <v>51</v>
      </c>
      <c r="R238" s="182" t="s">
        <v>52</v>
      </c>
      <c r="S238" s="182" t="s">
        <v>20</v>
      </c>
      <c r="T238" s="182" t="s">
        <v>21</v>
      </c>
      <c r="U238" s="7"/>
      <c r="V238" s="20"/>
      <c r="W238" s="20"/>
      <c r="X238" s="20"/>
    </row>
    <row r="239" spans="1:24" s="1" customFormat="1" ht="11.25" customHeight="1">
      <c r="A239" s="183">
        <v>1</v>
      </c>
      <c r="B239" s="230">
        <v>2</v>
      </c>
      <c r="C239" s="231"/>
      <c r="D239" s="28">
        <v>3</v>
      </c>
      <c r="E239" s="28"/>
      <c r="F239" s="58">
        <v>4</v>
      </c>
      <c r="G239" s="28">
        <v>5</v>
      </c>
      <c r="H239" s="28">
        <v>6</v>
      </c>
      <c r="I239" s="28">
        <v>7</v>
      </c>
      <c r="J239" s="28">
        <v>8</v>
      </c>
      <c r="K239" s="28">
        <v>9</v>
      </c>
      <c r="L239" s="28">
        <v>10</v>
      </c>
      <c r="M239" s="28">
        <v>11</v>
      </c>
      <c r="N239" s="28">
        <v>12</v>
      </c>
      <c r="O239" s="28">
        <v>13</v>
      </c>
      <c r="P239" s="28">
        <v>14</v>
      </c>
      <c r="Q239" s="28">
        <v>15</v>
      </c>
      <c r="R239" s="28">
        <v>16</v>
      </c>
      <c r="S239" s="28">
        <v>17</v>
      </c>
      <c r="T239" s="28">
        <v>18</v>
      </c>
      <c r="U239" s="8"/>
      <c r="V239" s="21"/>
      <c r="W239" s="21"/>
      <c r="X239" s="21"/>
    </row>
    <row r="240" spans="1:24" s="1" customFormat="1" ht="11.25" customHeight="1">
      <c r="A240" s="245" t="s">
        <v>93</v>
      </c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7"/>
      <c r="U240" s="9"/>
      <c r="V240" s="22"/>
      <c r="W240" s="22"/>
      <c r="X240" s="22"/>
    </row>
    <row r="241" spans="1:24" s="121" customFormat="1" ht="20.25" customHeight="1">
      <c r="A241" s="136">
        <v>71</v>
      </c>
      <c r="B241" s="208" t="s">
        <v>89</v>
      </c>
      <c r="C241" s="209"/>
      <c r="D241" s="145">
        <v>66</v>
      </c>
      <c r="E241" s="145">
        <v>16.63</v>
      </c>
      <c r="F241" s="173">
        <f>0.5*D241/60</f>
        <v>0.55</v>
      </c>
      <c r="G241" s="173">
        <f>0.03*D241/30</f>
        <v>0.066</v>
      </c>
      <c r="H241" s="173">
        <f>1.7*D241/60</f>
        <v>1.87</v>
      </c>
      <c r="I241" s="173">
        <f>F241*4+G241*9+H241*4</f>
        <v>10.274000000000001</v>
      </c>
      <c r="J241" s="146">
        <v>0.009</v>
      </c>
      <c r="K241" s="173">
        <v>0.01</v>
      </c>
      <c r="L241" s="147">
        <v>3</v>
      </c>
      <c r="M241" s="146">
        <v>0.003</v>
      </c>
      <c r="N241" s="145">
        <v>0.03</v>
      </c>
      <c r="O241" s="173">
        <v>6.9</v>
      </c>
      <c r="P241" s="173">
        <v>12.6</v>
      </c>
      <c r="Q241" s="146">
        <v>0.064</v>
      </c>
      <c r="R241" s="146">
        <v>0.001</v>
      </c>
      <c r="S241" s="173">
        <v>4.2</v>
      </c>
      <c r="T241" s="173">
        <v>0.18</v>
      </c>
      <c r="U241" s="124"/>
      <c r="V241" s="125"/>
      <c r="W241" s="125"/>
      <c r="X241" s="125"/>
    </row>
    <row r="242" spans="1:24" s="121" customFormat="1" ht="12" customHeight="1">
      <c r="A242" s="183">
        <v>291</v>
      </c>
      <c r="B242" s="208" t="s">
        <v>45</v>
      </c>
      <c r="C242" s="209"/>
      <c r="D242" s="139">
        <v>240</v>
      </c>
      <c r="E242" s="140">
        <v>50.04</v>
      </c>
      <c r="F242" s="140">
        <v>22.35</v>
      </c>
      <c r="G242" s="140">
        <v>26.13</v>
      </c>
      <c r="H242" s="140">
        <v>47.23</v>
      </c>
      <c r="I242" s="140">
        <v>513.57</v>
      </c>
      <c r="J242" s="140">
        <v>0.81</v>
      </c>
      <c r="K242" s="140">
        <v>0.79</v>
      </c>
      <c r="L242" s="140">
        <v>4.29</v>
      </c>
      <c r="M242" s="140">
        <v>0.46</v>
      </c>
      <c r="N242" s="137">
        <v>0</v>
      </c>
      <c r="O242" s="140">
        <v>44.29</v>
      </c>
      <c r="P242" s="140">
        <v>301.65</v>
      </c>
      <c r="Q242" s="139">
        <v>0</v>
      </c>
      <c r="R242" s="139">
        <v>0</v>
      </c>
      <c r="S242" s="140">
        <v>64.39</v>
      </c>
      <c r="T242" s="140">
        <v>2.77</v>
      </c>
      <c r="U242" s="142"/>
      <c r="V242" s="143"/>
      <c r="W242" s="143"/>
      <c r="X242" s="143"/>
    </row>
    <row r="243" spans="1:24" s="121" customFormat="1" ht="12.75" customHeight="1">
      <c r="A243" s="183">
        <v>377</v>
      </c>
      <c r="B243" s="212" t="s">
        <v>41</v>
      </c>
      <c r="C243" s="212"/>
      <c r="D243" s="139">
        <v>200</v>
      </c>
      <c r="E243" s="140">
        <v>3.81</v>
      </c>
      <c r="F243" s="140">
        <v>0.26</v>
      </c>
      <c r="G243" s="140">
        <v>0.06</v>
      </c>
      <c r="H243" s="140">
        <v>15.22</v>
      </c>
      <c r="I243" s="140">
        <f>F243*4+G243*9+H243*4</f>
        <v>62.46</v>
      </c>
      <c r="J243" s="140"/>
      <c r="K243" s="140">
        <v>0.01</v>
      </c>
      <c r="L243" s="140">
        <v>2.9</v>
      </c>
      <c r="M243" s="137">
        <v>0</v>
      </c>
      <c r="N243" s="140">
        <v>0.06</v>
      </c>
      <c r="O243" s="140">
        <v>8.05</v>
      </c>
      <c r="P243" s="140">
        <v>9.78</v>
      </c>
      <c r="Q243" s="140">
        <v>0.017</v>
      </c>
      <c r="R243" s="141">
        <v>0</v>
      </c>
      <c r="S243" s="140">
        <v>5.24</v>
      </c>
      <c r="T243" s="140">
        <v>0.87</v>
      </c>
      <c r="U243" s="142"/>
      <c r="V243" s="143"/>
      <c r="W243" s="143"/>
      <c r="X243" s="143"/>
    </row>
    <row r="244" spans="1:24" s="121" customFormat="1" ht="12.75" customHeight="1">
      <c r="A244" s="144" t="s">
        <v>58</v>
      </c>
      <c r="B244" s="208" t="s">
        <v>47</v>
      </c>
      <c r="C244" s="209"/>
      <c r="D244" s="139">
        <v>30</v>
      </c>
      <c r="E244" s="140">
        <v>2.52</v>
      </c>
      <c r="F244" s="140">
        <f>1.52*D244/30</f>
        <v>1.52</v>
      </c>
      <c r="G244" s="141">
        <f>0.16*D244/30</f>
        <v>0.16</v>
      </c>
      <c r="H244" s="141">
        <f>9.84*D244/30</f>
        <v>9.84</v>
      </c>
      <c r="I244" s="141">
        <f>F244*4+G244*9+H244*4</f>
        <v>46.879999999999995</v>
      </c>
      <c r="J244" s="141">
        <f>0.02*D244/30</f>
        <v>0.02</v>
      </c>
      <c r="K244" s="141">
        <f>0.01*D244/30</f>
        <v>0.01</v>
      </c>
      <c r="L244" s="141">
        <f>0.44*D244/30</f>
        <v>0.44</v>
      </c>
      <c r="M244" s="141">
        <v>0</v>
      </c>
      <c r="N244" s="141">
        <f>0.7*D244/30</f>
        <v>0.7</v>
      </c>
      <c r="O244" s="141">
        <f>4*D244/30</f>
        <v>4</v>
      </c>
      <c r="P244" s="141">
        <f>13*D244/30</f>
        <v>13</v>
      </c>
      <c r="Q244" s="141">
        <f>0.008*D244/30</f>
        <v>0.008</v>
      </c>
      <c r="R244" s="141">
        <f>0.001*D244/30</f>
        <v>0.001</v>
      </c>
      <c r="S244" s="141">
        <v>0</v>
      </c>
      <c r="T244" s="141">
        <f>0.22*D244/30</f>
        <v>0.22</v>
      </c>
      <c r="U244" s="142"/>
      <c r="V244" s="173"/>
      <c r="W244" s="173"/>
      <c r="X244" s="173"/>
    </row>
    <row r="245" spans="1:24" s="73" customFormat="1" ht="11.25" customHeight="1">
      <c r="A245" s="46" t="s">
        <v>95</v>
      </c>
      <c r="B245" s="47"/>
      <c r="C245" s="47"/>
      <c r="D245" s="135">
        <f aca="true" t="shared" si="65" ref="D245:I245">SUM(D241:D244)</f>
        <v>536</v>
      </c>
      <c r="E245" s="150">
        <f t="shared" si="65"/>
        <v>73</v>
      </c>
      <c r="F245" s="127">
        <f t="shared" si="65"/>
        <v>24.680000000000003</v>
      </c>
      <c r="G245" s="127">
        <f t="shared" si="65"/>
        <v>26.415999999999997</v>
      </c>
      <c r="H245" s="127">
        <f t="shared" si="65"/>
        <v>74.16</v>
      </c>
      <c r="I245" s="127">
        <f t="shared" si="65"/>
        <v>633.1840000000001</v>
      </c>
      <c r="J245" s="127">
        <f aca="true" t="shared" si="66" ref="J245:T245">SUM(J241:J244)</f>
        <v>0.8390000000000001</v>
      </c>
      <c r="K245" s="127">
        <f t="shared" si="66"/>
        <v>0.8200000000000001</v>
      </c>
      <c r="L245" s="127">
        <f t="shared" si="66"/>
        <v>10.629999999999999</v>
      </c>
      <c r="M245" s="127">
        <f t="shared" si="66"/>
        <v>0.463</v>
      </c>
      <c r="N245" s="127">
        <f t="shared" si="66"/>
        <v>0.7899999999999999</v>
      </c>
      <c r="O245" s="126">
        <f t="shared" si="66"/>
        <v>63.239999999999995</v>
      </c>
      <c r="P245" s="127">
        <f t="shared" si="66"/>
        <v>337.03</v>
      </c>
      <c r="Q245" s="127">
        <f t="shared" si="66"/>
        <v>0.089</v>
      </c>
      <c r="R245" s="127">
        <f t="shared" si="66"/>
        <v>0.002</v>
      </c>
      <c r="S245" s="127">
        <f t="shared" si="66"/>
        <v>73.83</v>
      </c>
      <c r="T245" s="127">
        <f t="shared" si="66"/>
        <v>4.04</v>
      </c>
      <c r="U245" s="29"/>
      <c r="V245" s="74"/>
      <c r="W245" s="74"/>
      <c r="X245" s="74"/>
    </row>
    <row r="246" spans="1:24" s="73" customFormat="1" ht="11.25" customHeight="1">
      <c r="A246" s="225" t="s">
        <v>55</v>
      </c>
      <c r="B246" s="226"/>
      <c r="C246" s="226"/>
      <c r="D246" s="227"/>
      <c r="E246" s="174"/>
      <c r="F246" s="148">
        <f>F245/F262</f>
        <v>0.27422222222222226</v>
      </c>
      <c r="G246" s="130">
        <f>G245/G262</f>
        <v>0.28713043478260863</v>
      </c>
      <c r="H246" s="130">
        <f>H245/H262</f>
        <v>0.19362924281984334</v>
      </c>
      <c r="I246" s="130">
        <f>I245/I262</f>
        <v>0.23278823529411768</v>
      </c>
      <c r="J246" s="130">
        <f>J245/J262</f>
        <v>0.5992857142857144</v>
      </c>
      <c r="K246" s="130">
        <f>K245/K262</f>
        <v>0.5125</v>
      </c>
      <c r="L246" s="130">
        <f>L245/L262</f>
        <v>0.15185714285714283</v>
      </c>
      <c r="M246" s="130">
        <f>M245/M262</f>
        <v>0.5144444444444445</v>
      </c>
      <c r="N246" s="130">
        <f>N245/N262</f>
        <v>0.06583333333333333</v>
      </c>
      <c r="O246" s="130">
        <f>O245/O262</f>
        <v>0.0527</v>
      </c>
      <c r="P246" s="130">
        <f>P245/P262</f>
        <v>0.2808583333333333</v>
      </c>
      <c r="Q246" s="130">
        <f>Q245/Q262</f>
        <v>0.006357142857142857</v>
      </c>
      <c r="R246" s="130">
        <f>R245/R262</f>
        <v>0.02</v>
      </c>
      <c r="S246" s="130">
        <f>S245/S262</f>
        <v>0.24609999999999999</v>
      </c>
      <c r="T246" s="130">
        <f>T245/T262</f>
        <v>0.22444444444444445</v>
      </c>
      <c r="U246" s="76"/>
      <c r="V246" s="74"/>
      <c r="W246" s="74"/>
      <c r="X246" s="74"/>
    </row>
    <row r="247" spans="1:24" s="73" customFormat="1" ht="11.25" customHeight="1">
      <c r="A247" s="242" t="s">
        <v>24</v>
      </c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4"/>
      <c r="U247" s="14"/>
      <c r="V247" s="24"/>
      <c r="W247" s="24"/>
      <c r="X247" s="24"/>
    </row>
    <row r="248" spans="1:24" s="155" customFormat="1" ht="21.75" customHeight="1">
      <c r="A248" s="144">
        <v>52</v>
      </c>
      <c r="B248" s="208" t="s">
        <v>114</v>
      </c>
      <c r="C248" s="209"/>
      <c r="D248" s="139">
        <v>100</v>
      </c>
      <c r="E248" s="140">
        <v>10.41</v>
      </c>
      <c r="F248" s="140">
        <v>1.4333333333333333</v>
      </c>
      <c r="G248" s="140">
        <v>5.083333333333333</v>
      </c>
      <c r="H248" s="140">
        <v>8.55</v>
      </c>
      <c r="I248" s="140">
        <v>85.68333333333334</v>
      </c>
      <c r="J248" s="140">
        <v>0.016666666666666666</v>
      </c>
      <c r="K248" s="140">
        <v>0.03333333333333333</v>
      </c>
      <c r="L248" s="138">
        <v>9.5</v>
      </c>
      <c r="M248" s="140">
        <v>0.016666666666666666</v>
      </c>
      <c r="N248" s="140">
        <v>0.16666666666666666</v>
      </c>
      <c r="O248" s="140">
        <v>44.35</v>
      </c>
      <c r="P248" s="140">
        <v>42.733333333333334</v>
      </c>
      <c r="Q248" s="140">
        <v>0.7166666666666667</v>
      </c>
      <c r="R248" s="141">
        <v>0.016666666666666666</v>
      </c>
      <c r="S248" s="138">
        <v>21.45</v>
      </c>
      <c r="T248" s="140">
        <v>1.4</v>
      </c>
      <c r="U248" s="152"/>
      <c r="V248" s="153"/>
      <c r="W248" s="153"/>
      <c r="X248" s="153"/>
    </row>
    <row r="249" spans="1:24" s="99" customFormat="1" ht="22.5" customHeight="1">
      <c r="A249" s="144">
        <v>108</v>
      </c>
      <c r="B249" s="208" t="s">
        <v>80</v>
      </c>
      <c r="C249" s="209"/>
      <c r="D249" s="137">
        <v>250</v>
      </c>
      <c r="E249" s="140">
        <v>12.04</v>
      </c>
      <c r="F249" s="140">
        <v>3.15</v>
      </c>
      <c r="G249" s="141">
        <v>3.55</v>
      </c>
      <c r="H249" s="141">
        <v>20.8375</v>
      </c>
      <c r="I249" s="140">
        <v>127.89999999999999</v>
      </c>
      <c r="J249" s="141">
        <v>0.0875</v>
      </c>
      <c r="K249" s="141">
        <v>0.075</v>
      </c>
      <c r="L249" s="141">
        <v>11.3125</v>
      </c>
      <c r="M249" s="141">
        <v>0.59</v>
      </c>
      <c r="N249" s="141">
        <v>0.875</v>
      </c>
      <c r="O249" s="141">
        <v>25.7375</v>
      </c>
      <c r="P249" s="141">
        <v>60.2375</v>
      </c>
      <c r="Q249" s="141">
        <v>0.25</v>
      </c>
      <c r="R249" s="141">
        <v>0.00125</v>
      </c>
      <c r="S249" s="141">
        <v>18.2</v>
      </c>
      <c r="T249" s="141">
        <v>0.925</v>
      </c>
      <c r="U249" s="104"/>
      <c r="V249" s="105"/>
      <c r="W249" s="105"/>
      <c r="X249" s="105"/>
    </row>
    <row r="250" spans="1:24" s="154" customFormat="1" ht="12.75" customHeight="1">
      <c r="A250" s="183">
        <v>259</v>
      </c>
      <c r="B250" s="208" t="s">
        <v>46</v>
      </c>
      <c r="C250" s="209"/>
      <c r="D250" s="139">
        <v>240</v>
      </c>
      <c r="E250" s="140">
        <v>61.34</v>
      </c>
      <c r="F250" s="140">
        <v>17.12</v>
      </c>
      <c r="G250" s="140">
        <v>18.01</v>
      </c>
      <c r="H250" s="140">
        <v>30.612</v>
      </c>
      <c r="I250" s="140">
        <v>353.052</v>
      </c>
      <c r="J250" s="140">
        <v>0.26</v>
      </c>
      <c r="K250" s="140">
        <v>0.24</v>
      </c>
      <c r="L250" s="140">
        <v>37.56</v>
      </c>
      <c r="M250" s="141">
        <v>0.07</v>
      </c>
      <c r="N250" s="137">
        <v>0.42</v>
      </c>
      <c r="O250" s="140">
        <v>50.64</v>
      </c>
      <c r="P250" s="138">
        <v>261.81</v>
      </c>
      <c r="Q250" s="138">
        <v>4.2</v>
      </c>
      <c r="R250" s="141">
        <v>0.002</v>
      </c>
      <c r="S250" s="140">
        <v>67.044</v>
      </c>
      <c r="T250" s="140">
        <v>3.98</v>
      </c>
      <c r="U250" s="152"/>
      <c r="V250" s="153"/>
      <c r="W250" s="153"/>
      <c r="X250" s="153"/>
    </row>
    <row r="251" spans="1:24" s="154" customFormat="1" ht="12" customHeight="1">
      <c r="A251" s="144">
        <v>349</v>
      </c>
      <c r="B251" s="208" t="s">
        <v>73</v>
      </c>
      <c r="C251" s="209"/>
      <c r="D251" s="139">
        <v>200</v>
      </c>
      <c r="E251" s="140">
        <v>5.61</v>
      </c>
      <c r="F251" s="140">
        <v>0.22</v>
      </c>
      <c r="G251" s="137">
        <v>0</v>
      </c>
      <c r="H251" s="140">
        <v>24.42</v>
      </c>
      <c r="I251" s="140">
        <v>98.56</v>
      </c>
      <c r="J251" s="137">
        <v>0</v>
      </c>
      <c r="K251" s="137">
        <v>0</v>
      </c>
      <c r="L251" s="140">
        <v>26.11</v>
      </c>
      <c r="M251" s="137">
        <v>0</v>
      </c>
      <c r="N251" s="137">
        <v>0</v>
      </c>
      <c r="O251" s="138">
        <v>22.6</v>
      </c>
      <c r="P251" s="138">
        <v>7.7</v>
      </c>
      <c r="Q251" s="139">
        <v>0</v>
      </c>
      <c r="R251" s="139">
        <v>0</v>
      </c>
      <c r="S251" s="138">
        <v>3</v>
      </c>
      <c r="T251" s="140">
        <v>0.66</v>
      </c>
      <c r="U251" s="152"/>
      <c r="V251" s="153"/>
      <c r="W251" s="153"/>
      <c r="X251" s="153"/>
    </row>
    <row r="252" spans="1:24" s="154" customFormat="1" ht="11.25" customHeight="1">
      <c r="A252" s="52" t="s">
        <v>58</v>
      </c>
      <c r="B252" s="208" t="s">
        <v>42</v>
      </c>
      <c r="C252" s="209"/>
      <c r="D252" s="139">
        <v>40</v>
      </c>
      <c r="E252" s="140">
        <v>2.08</v>
      </c>
      <c r="F252" s="140">
        <f>2.64*D252/40</f>
        <v>2.64</v>
      </c>
      <c r="G252" s="140">
        <f>0.48*D252/40</f>
        <v>0.48</v>
      </c>
      <c r="H252" s="140">
        <f>13.68*D252/40</f>
        <v>13.680000000000001</v>
      </c>
      <c r="I252" s="138">
        <f>F252*4+G252*9+H252*4</f>
        <v>69.60000000000001</v>
      </c>
      <c r="J252" s="137">
        <f>0.08*D252/40</f>
        <v>0.08</v>
      </c>
      <c r="K252" s="140">
        <f>0.04*D252/40</f>
        <v>0.04</v>
      </c>
      <c r="L252" s="139">
        <v>0</v>
      </c>
      <c r="M252" s="139">
        <v>0</v>
      </c>
      <c r="N252" s="140">
        <f>2.4*D252/40</f>
        <v>2.4</v>
      </c>
      <c r="O252" s="140">
        <f>14*D252/40</f>
        <v>14</v>
      </c>
      <c r="P252" s="140">
        <f>63.2*D252/40</f>
        <v>63.2</v>
      </c>
      <c r="Q252" s="140">
        <f>1.2*D252/40</f>
        <v>1.2</v>
      </c>
      <c r="R252" s="141">
        <f>0.001*D252/40</f>
        <v>0.001</v>
      </c>
      <c r="S252" s="140">
        <f>9.4*D252/40</f>
        <v>9.4</v>
      </c>
      <c r="T252" s="137">
        <f>0.78*D252/40</f>
        <v>0.78</v>
      </c>
      <c r="U252" s="160"/>
      <c r="V252" s="161"/>
      <c r="W252" s="161"/>
      <c r="X252" s="161"/>
    </row>
    <row r="253" spans="1:24" s="73" customFormat="1" ht="11.25" customHeight="1">
      <c r="A253" s="144" t="s">
        <v>58</v>
      </c>
      <c r="B253" s="208" t="s">
        <v>47</v>
      </c>
      <c r="C253" s="209"/>
      <c r="D253" s="139">
        <v>30</v>
      </c>
      <c r="E253" s="140">
        <v>2.52</v>
      </c>
      <c r="F253" s="140">
        <f>1.52*D253/30</f>
        <v>1.52</v>
      </c>
      <c r="G253" s="141">
        <f>0.16*D253/30</f>
        <v>0.16</v>
      </c>
      <c r="H253" s="141">
        <f>9.84*D253/30</f>
        <v>9.84</v>
      </c>
      <c r="I253" s="141">
        <f>F253*4+G253*9+H253*4</f>
        <v>46.879999999999995</v>
      </c>
      <c r="J253" s="141">
        <f>0.02*D253/30</f>
        <v>0.02</v>
      </c>
      <c r="K253" s="141">
        <f>0.01*D253/30</f>
        <v>0.01</v>
      </c>
      <c r="L253" s="141">
        <f>0.44*D253/30</f>
        <v>0.44</v>
      </c>
      <c r="M253" s="141">
        <v>0</v>
      </c>
      <c r="N253" s="141">
        <f>0.7*D253/30</f>
        <v>0.7</v>
      </c>
      <c r="O253" s="141">
        <f>4*D253/30</f>
        <v>4</v>
      </c>
      <c r="P253" s="141">
        <f>13*D253/30</f>
        <v>13</v>
      </c>
      <c r="Q253" s="141">
        <f>0.008*D253/30</f>
        <v>0.008</v>
      </c>
      <c r="R253" s="141">
        <f>0.001*D253/30</f>
        <v>0.001</v>
      </c>
      <c r="S253" s="141">
        <v>0</v>
      </c>
      <c r="T253" s="141">
        <f>0.22*D253/30</f>
        <v>0.22</v>
      </c>
      <c r="U253" s="77"/>
      <c r="V253" s="78"/>
      <c r="W253" s="78"/>
      <c r="X253" s="78"/>
    </row>
    <row r="254" spans="1:24" s="73" customFormat="1" ht="11.25" customHeight="1">
      <c r="A254" s="133" t="s">
        <v>25</v>
      </c>
      <c r="B254" s="134"/>
      <c r="C254" s="134"/>
      <c r="D254" s="135">
        <f>SUM(D248:D253)</f>
        <v>860</v>
      </c>
      <c r="E254" s="150">
        <f>SUM(E248:E253)</f>
        <v>94</v>
      </c>
      <c r="F254" s="150">
        <f>SUM(F248:F253)</f>
        <v>26.083333333333332</v>
      </c>
      <c r="G254" s="150">
        <f>SUM(G248:G253)</f>
        <v>27.283333333333335</v>
      </c>
      <c r="H254" s="150">
        <f>SUM(H248:H253)</f>
        <v>107.93950000000001</v>
      </c>
      <c r="I254" s="150">
        <f>SUM(I248:I253)</f>
        <v>781.6753333333334</v>
      </c>
      <c r="J254" s="150">
        <f>SUM(J248:J253)</f>
        <v>0.46416666666666667</v>
      </c>
      <c r="K254" s="150">
        <f>SUM(K248:K253)</f>
        <v>0.3983333333333333</v>
      </c>
      <c r="L254" s="150">
        <f>SUM(L248:L253)</f>
        <v>84.9225</v>
      </c>
      <c r="M254" s="150">
        <f>SUM(M248:M253)</f>
        <v>0.6766666666666667</v>
      </c>
      <c r="N254" s="150">
        <f>SUM(N248:N253)</f>
        <v>4.5616666666666665</v>
      </c>
      <c r="O254" s="150">
        <f>SUM(O248:O253)</f>
        <v>161.32750000000001</v>
      </c>
      <c r="P254" s="150">
        <f>SUM(P248:P253)</f>
        <v>448.68083333333334</v>
      </c>
      <c r="Q254" s="150">
        <f>SUM(Q248:Q253)</f>
        <v>6.374666666666667</v>
      </c>
      <c r="R254" s="150">
        <f>SUM(R248:R253)</f>
        <v>0.021916666666666668</v>
      </c>
      <c r="S254" s="150">
        <f>SUM(S248:S253)</f>
        <v>119.094</v>
      </c>
      <c r="T254" s="150">
        <f>SUM(T248:T253)</f>
        <v>7.965</v>
      </c>
      <c r="U254" s="29"/>
      <c r="V254" s="74"/>
      <c r="W254" s="74"/>
      <c r="X254" s="74"/>
    </row>
    <row r="255" spans="1:24" s="73" customFormat="1" ht="11.25" customHeight="1">
      <c r="A255" s="225" t="s">
        <v>55</v>
      </c>
      <c r="B255" s="226"/>
      <c r="C255" s="226"/>
      <c r="D255" s="227"/>
      <c r="E255" s="174"/>
      <c r="F255" s="148">
        <f aca="true" t="shared" si="67" ref="F255:T255">F254/F262</f>
        <v>0.2898148148148148</v>
      </c>
      <c r="G255" s="130">
        <f t="shared" si="67"/>
        <v>0.29655797101449277</v>
      </c>
      <c r="H255" s="130">
        <f t="shared" si="67"/>
        <v>0.2818263707571802</v>
      </c>
      <c r="I255" s="130">
        <f t="shared" si="67"/>
        <v>0.287380637254902</v>
      </c>
      <c r="J255" s="130">
        <f t="shared" si="67"/>
        <v>0.3315476190476191</v>
      </c>
      <c r="K255" s="130">
        <f t="shared" si="67"/>
        <v>0.2489583333333333</v>
      </c>
      <c r="L255" s="130">
        <f t="shared" si="67"/>
        <v>1.2131785714285714</v>
      </c>
      <c r="M255" s="130">
        <f t="shared" si="67"/>
        <v>0.7518518518518519</v>
      </c>
      <c r="N255" s="130">
        <f t="shared" si="67"/>
        <v>0.38013888888888886</v>
      </c>
      <c r="O255" s="130">
        <f t="shared" si="67"/>
        <v>0.13443958333333333</v>
      </c>
      <c r="P255" s="130">
        <f t="shared" si="67"/>
        <v>0.37390069444444446</v>
      </c>
      <c r="Q255" s="130">
        <f t="shared" si="67"/>
        <v>0.45533333333333337</v>
      </c>
      <c r="R255" s="130">
        <f t="shared" si="67"/>
        <v>0.21916666666666668</v>
      </c>
      <c r="S255" s="130">
        <f t="shared" si="67"/>
        <v>0.39698</v>
      </c>
      <c r="T255" s="130">
        <f t="shared" si="67"/>
        <v>0.4425</v>
      </c>
      <c r="U255" s="76"/>
      <c r="V255" s="74"/>
      <c r="W255" s="74"/>
      <c r="X255" s="74"/>
    </row>
    <row r="256" spans="1:24" s="73" customFormat="1" ht="11.25" customHeight="1">
      <c r="A256" s="245" t="s">
        <v>26</v>
      </c>
      <c r="B256" s="246"/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7"/>
      <c r="U256" s="9"/>
      <c r="V256" s="22"/>
      <c r="W256" s="22"/>
      <c r="X256" s="22"/>
    </row>
    <row r="257" spans="1:20" s="68" customFormat="1" ht="11.25" customHeight="1">
      <c r="A257" s="166"/>
      <c r="B257" s="223"/>
      <c r="C257" s="223"/>
      <c r="D257" s="163"/>
      <c r="E257" s="164"/>
      <c r="F257" s="164"/>
      <c r="G257" s="169"/>
      <c r="H257" s="169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</row>
    <row r="258" spans="1:24" s="73" customFormat="1" ht="12.75" customHeight="1">
      <c r="A258" s="183"/>
      <c r="B258" s="212"/>
      <c r="C258" s="212"/>
      <c r="D258" s="139"/>
      <c r="E258" s="140"/>
      <c r="F258" s="140"/>
      <c r="G258" s="140"/>
      <c r="H258" s="140"/>
      <c r="I258" s="140"/>
      <c r="J258" s="140"/>
      <c r="K258" s="140"/>
      <c r="L258" s="140"/>
      <c r="M258" s="137"/>
      <c r="N258" s="140"/>
      <c r="O258" s="140"/>
      <c r="P258" s="140"/>
      <c r="Q258" s="140"/>
      <c r="R258" s="141"/>
      <c r="S258" s="140"/>
      <c r="T258" s="140"/>
      <c r="U258" s="77"/>
      <c r="V258" s="78"/>
      <c r="W258" s="78"/>
      <c r="X258" s="78"/>
    </row>
    <row r="259" spans="1:24" s="1" customFormat="1" ht="11.25" customHeight="1">
      <c r="A259" s="133" t="s">
        <v>27</v>
      </c>
      <c r="B259" s="134"/>
      <c r="C259" s="134"/>
      <c r="D259" s="135">
        <f aca="true" t="shared" si="68" ref="D259:I259">SUM(D257:D258)</f>
        <v>0</v>
      </c>
      <c r="E259" s="150">
        <f t="shared" si="68"/>
        <v>0</v>
      </c>
      <c r="F259" s="127">
        <f t="shared" si="68"/>
        <v>0</v>
      </c>
      <c r="G259" s="126">
        <f t="shared" si="68"/>
        <v>0</v>
      </c>
      <c r="H259" s="126">
        <f t="shared" si="68"/>
        <v>0</v>
      </c>
      <c r="I259" s="126">
        <f t="shared" si="68"/>
        <v>0</v>
      </c>
      <c r="J259" s="127">
        <f aca="true" t="shared" si="69" ref="J259:T259">SUM(J257:J258)</f>
        <v>0</v>
      </c>
      <c r="K259" s="127">
        <f t="shared" si="69"/>
        <v>0</v>
      </c>
      <c r="L259" s="132">
        <f t="shared" si="69"/>
        <v>0</v>
      </c>
      <c r="M259" s="126">
        <f t="shared" si="69"/>
        <v>0</v>
      </c>
      <c r="N259" s="126">
        <f t="shared" si="69"/>
        <v>0</v>
      </c>
      <c r="O259" s="126">
        <f t="shared" si="69"/>
        <v>0</v>
      </c>
      <c r="P259" s="126">
        <f t="shared" si="69"/>
        <v>0</v>
      </c>
      <c r="Q259" s="126">
        <f t="shared" si="69"/>
        <v>0</v>
      </c>
      <c r="R259" s="127">
        <f t="shared" si="69"/>
        <v>0</v>
      </c>
      <c r="S259" s="126">
        <f t="shared" si="69"/>
        <v>0</v>
      </c>
      <c r="T259" s="127">
        <f t="shared" si="69"/>
        <v>0</v>
      </c>
      <c r="U259" s="29"/>
      <c r="V259" s="74"/>
      <c r="W259" s="74"/>
      <c r="X259" s="74"/>
    </row>
    <row r="260" spans="1:24" s="1" customFormat="1" ht="11.25" customHeight="1">
      <c r="A260" s="225" t="s">
        <v>55</v>
      </c>
      <c r="B260" s="226"/>
      <c r="C260" s="226"/>
      <c r="D260" s="227"/>
      <c r="E260" s="175"/>
      <c r="F260" s="51">
        <f>F259/F262</f>
        <v>0</v>
      </c>
      <c r="G260" s="130">
        <f aca="true" t="shared" si="70" ref="G260:T260">G259/G262</f>
        <v>0</v>
      </c>
      <c r="H260" s="130">
        <f t="shared" si="70"/>
        <v>0</v>
      </c>
      <c r="I260" s="130">
        <f t="shared" si="70"/>
        <v>0</v>
      </c>
      <c r="J260" s="130">
        <f t="shared" si="70"/>
        <v>0</v>
      </c>
      <c r="K260" s="130">
        <f t="shared" si="70"/>
        <v>0</v>
      </c>
      <c r="L260" s="130">
        <f t="shared" si="70"/>
        <v>0</v>
      </c>
      <c r="M260" s="130">
        <f t="shared" si="70"/>
        <v>0</v>
      </c>
      <c r="N260" s="130">
        <f t="shared" si="70"/>
        <v>0</v>
      </c>
      <c r="O260" s="130">
        <f t="shared" si="70"/>
        <v>0</v>
      </c>
      <c r="P260" s="130">
        <f t="shared" si="70"/>
        <v>0</v>
      </c>
      <c r="Q260" s="130">
        <f t="shared" si="70"/>
        <v>0</v>
      </c>
      <c r="R260" s="130">
        <f t="shared" si="70"/>
        <v>0</v>
      </c>
      <c r="S260" s="130">
        <f t="shared" si="70"/>
        <v>0</v>
      </c>
      <c r="T260" s="130">
        <f t="shared" si="70"/>
        <v>0</v>
      </c>
      <c r="U260" s="76"/>
      <c r="V260" s="74"/>
      <c r="W260" s="74"/>
      <c r="X260" s="74"/>
    </row>
    <row r="261" spans="1:24" s="1" customFormat="1" ht="11.25" customHeight="1">
      <c r="A261" s="133" t="s">
        <v>54</v>
      </c>
      <c r="B261" s="134"/>
      <c r="C261" s="134"/>
      <c r="D261" s="61">
        <f>D254+D245</f>
        <v>1396</v>
      </c>
      <c r="E261" s="151">
        <f>E254+E245</f>
        <v>167</v>
      </c>
      <c r="F261" s="127">
        <f>SUM(F245,F254,F259)</f>
        <v>50.763333333333335</v>
      </c>
      <c r="G261" s="126">
        <f>SUM(G245,G254,G259)</f>
        <v>53.69933333333333</v>
      </c>
      <c r="H261" s="126">
        <f>SUM(H245,H254,H259)</f>
        <v>182.0995</v>
      </c>
      <c r="I261" s="126">
        <f>SUM(I245,I254,I259)</f>
        <v>1414.8593333333333</v>
      </c>
      <c r="J261" s="127">
        <f>SUM(J245,J254,J259)</f>
        <v>1.3031666666666668</v>
      </c>
      <c r="K261" s="127">
        <f>SUM(K245,K254,K259)</f>
        <v>1.2183333333333333</v>
      </c>
      <c r="L261" s="126">
        <f>SUM(L245,L254,L259)</f>
        <v>95.5525</v>
      </c>
      <c r="M261" s="127">
        <f>SUM(M245,M254,M259)</f>
        <v>1.1396666666666668</v>
      </c>
      <c r="N261" s="127">
        <f>SUM(N245,N254,N259)</f>
        <v>5.351666666666667</v>
      </c>
      <c r="O261" s="126">
        <f>SUM(O245,O254,O259)</f>
        <v>224.5675</v>
      </c>
      <c r="P261" s="126">
        <f>SUM(P245,P254,P259)</f>
        <v>785.7108333333333</v>
      </c>
      <c r="Q261" s="127">
        <f>SUM(Q245,Q254,Q259)</f>
        <v>6.463666666666668</v>
      </c>
      <c r="R261" s="128">
        <f>SUM(R245,R254,R259)</f>
        <v>0.02391666666666667</v>
      </c>
      <c r="S261" s="127">
        <f>SUM(S245,S254,S259)</f>
        <v>192.92399999999998</v>
      </c>
      <c r="T261" s="127">
        <f>SUM(T245,T254,T259)</f>
        <v>12.004999999999999</v>
      </c>
      <c r="U261" s="31"/>
      <c r="V261" s="74"/>
      <c r="W261" s="74"/>
      <c r="X261" s="74"/>
    </row>
    <row r="262" spans="1:24" s="1" customFormat="1" ht="11.25" customHeight="1">
      <c r="A262" s="201" t="s">
        <v>56</v>
      </c>
      <c r="B262" s="202"/>
      <c r="C262" s="202"/>
      <c r="D262" s="203"/>
      <c r="E262" s="180"/>
      <c r="F262" s="140">
        <v>90</v>
      </c>
      <c r="G262" s="138">
        <v>92</v>
      </c>
      <c r="H262" s="138">
        <v>383</v>
      </c>
      <c r="I262" s="138">
        <v>2720</v>
      </c>
      <c r="J262" s="140">
        <v>1.4</v>
      </c>
      <c r="K262" s="140">
        <v>1.6</v>
      </c>
      <c r="L262" s="139">
        <v>70</v>
      </c>
      <c r="M262" s="140">
        <v>0.9</v>
      </c>
      <c r="N262" s="139">
        <v>12</v>
      </c>
      <c r="O262" s="139">
        <v>1200</v>
      </c>
      <c r="P262" s="139">
        <v>1200</v>
      </c>
      <c r="Q262" s="139">
        <v>14</v>
      </c>
      <c r="R262" s="138">
        <v>0.1</v>
      </c>
      <c r="S262" s="139">
        <v>300</v>
      </c>
      <c r="T262" s="140">
        <v>18</v>
      </c>
      <c r="U262" s="77"/>
      <c r="V262" s="78"/>
      <c r="W262" s="78"/>
      <c r="X262" s="78"/>
    </row>
    <row r="263" spans="1:24" s="1" customFormat="1" ht="11.25" customHeight="1">
      <c r="A263" s="225" t="s">
        <v>55</v>
      </c>
      <c r="B263" s="226"/>
      <c r="C263" s="226"/>
      <c r="D263" s="227"/>
      <c r="E263" s="175"/>
      <c r="F263" s="51">
        <f aca="true" t="shared" si="71" ref="F263:T263">F261/F262</f>
        <v>0.5640370370370371</v>
      </c>
      <c r="G263" s="130">
        <f t="shared" si="71"/>
        <v>0.5836884057971014</v>
      </c>
      <c r="H263" s="130">
        <f t="shared" si="71"/>
        <v>0.47545561357702354</v>
      </c>
      <c r="I263" s="130">
        <f t="shared" si="71"/>
        <v>0.5201688725490196</v>
      </c>
      <c r="J263" s="130">
        <f t="shared" si="71"/>
        <v>0.9308333333333335</v>
      </c>
      <c r="K263" s="130">
        <f t="shared" si="71"/>
        <v>0.7614583333333332</v>
      </c>
      <c r="L263" s="130">
        <f t="shared" si="71"/>
        <v>1.3650357142857141</v>
      </c>
      <c r="M263" s="33">
        <f t="shared" si="71"/>
        <v>1.2662962962962965</v>
      </c>
      <c r="N263" s="130">
        <f t="shared" si="71"/>
        <v>0.4459722222222222</v>
      </c>
      <c r="O263" s="130">
        <f t="shared" si="71"/>
        <v>0.18713958333333333</v>
      </c>
      <c r="P263" s="130">
        <f t="shared" si="71"/>
        <v>0.6547590277777777</v>
      </c>
      <c r="Q263" s="130">
        <f t="shared" si="71"/>
        <v>0.46169047619047626</v>
      </c>
      <c r="R263" s="33">
        <f t="shared" si="71"/>
        <v>0.2391666666666667</v>
      </c>
      <c r="S263" s="130">
        <f t="shared" si="71"/>
        <v>0.6430799999999999</v>
      </c>
      <c r="T263" s="33">
        <f t="shared" si="71"/>
        <v>0.6669444444444443</v>
      </c>
      <c r="U263" s="34"/>
      <c r="V263" s="35"/>
      <c r="W263" s="35"/>
      <c r="X263" s="35"/>
    </row>
    <row r="264" spans="1:24" s="1" customFormat="1" ht="11.25" customHeight="1">
      <c r="A264" s="41" t="s">
        <v>69</v>
      </c>
      <c r="B264" s="41"/>
      <c r="C264" s="181"/>
      <c r="D264" s="181"/>
      <c r="E264" s="181"/>
      <c r="F264" s="59"/>
      <c r="G264" s="121"/>
      <c r="H264" s="2"/>
      <c r="I264" s="2"/>
      <c r="J264" s="121"/>
      <c r="K264" s="121"/>
      <c r="L264" s="121"/>
      <c r="M264" s="220" t="s">
        <v>57</v>
      </c>
      <c r="N264" s="220"/>
      <c r="O264" s="220"/>
      <c r="P264" s="220"/>
      <c r="Q264" s="220"/>
      <c r="R264" s="220"/>
      <c r="S264" s="220"/>
      <c r="T264" s="220"/>
      <c r="U264" s="10"/>
      <c r="V264" s="17"/>
      <c r="W264" s="17"/>
      <c r="X264" s="17"/>
    </row>
    <row r="265" spans="1:24" s="1" customFormat="1" ht="11.25" customHeight="1">
      <c r="A265" s="41"/>
      <c r="B265" s="41"/>
      <c r="C265" s="181"/>
      <c r="D265" s="181"/>
      <c r="E265" s="181"/>
      <c r="F265" s="59"/>
      <c r="G265" s="121"/>
      <c r="H265" s="2"/>
      <c r="I265" s="2"/>
      <c r="J265" s="121"/>
      <c r="K265" s="121"/>
      <c r="L265" s="121"/>
      <c r="M265" s="184"/>
      <c r="N265" s="184"/>
      <c r="O265" s="184"/>
      <c r="P265" s="184"/>
      <c r="Q265" s="184"/>
      <c r="R265" s="184"/>
      <c r="S265" s="184"/>
      <c r="T265" s="184"/>
      <c r="U265" s="10"/>
      <c r="V265" s="17"/>
      <c r="W265" s="17"/>
      <c r="X265" s="17"/>
    </row>
    <row r="266" spans="1:24" s="1" customFormat="1" ht="11.25" customHeight="1">
      <c r="A266" s="222" t="s">
        <v>39</v>
      </c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11"/>
      <c r="V266" s="23"/>
      <c r="W266" s="23"/>
      <c r="X266" s="23"/>
    </row>
    <row r="267" spans="1:24" s="1" customFormat="1" ht="11.25" customHeight="1">
      <c r="A267" s="43" t="s">
        <v>48</v>
      </c>
      <c r="B267" s="41"/>
      <c r="C267" s="41"/>
      <c r="D267" s="2"/>
      <c r="E267" s="2"/>
      <c r="F267" s="119"/>
      <c r="G267" s="196" t="s">
        <v>33</v>
      </c>
      <c r="H267" s="196"/>
      <c r="I267" s="196"/>
      <c r="J267" s="121"/>
      <c r="K267" s="121"/>
      <c r="L267" s="215" t="s">
        <v>1</v>
      </c>
      <c r="M267" s="215"/>
      <c r="N267" s="214" t="str">
        <f>N235</f>
        <v>весенне-летний</v>
      </c>
      <c r="O267" s="214"/>
      <c r="P267" s="214"/>
      <c r="Q267" s="214"/>
      <c r="R267" s="121"/>
      <c r="S267" s="121"/>
      <c r="T267" s="121"/>
      <c r="U267" s="12"/>
      <c r="V267" s="18"/>
      <c r="W267" s="18"/>
      <c r="X267" s="18"/>
    </row>
    <row r="268" spans="1:24" s="1" customFormat="1" ht="11.25" customHeight="1">
      <c r="A268" s="41"/>
      <c r="B268" s="41"/>
      <c r="C268" s="41"/>
      <c r="D268" s="229" t="s">
        <v>2</v>
      </c>
      <c r="E268" s="229"/>
      <c r="F268" s="229"/>
      <c r="G268" s="5">
        <v>2</v>
      </c>
      <c r="H268" s="121"/>
      <c r="I268" s="2"/>
      <c r="J268" s="2"/>
      <c r="K268" s="2"/>
      <c r="L268" s="229" t="s">
        <v>3</v>
      </c>
      <c r="M268" s="229"/>
      <c r="N268" s="196" t="str">
        <f>N236</f>
        <v>с 7-11 лет;12 и старше</v>
      </c>
      <c r="O268" s="196"/>
      <c r="P268" s="196"/>
      <c r="Q268" s="196"/>
      <c r="R268" s="196"/>
      <c r="S268" s="196"/>
      <c r="T268" s="196"/>
      <c r="U268" s="13"/>
      <c r="V268" s="19"/>
      <c r="W268" s="19"/>
      <c r="X268" s="19"/>
    </row>
    <row r="269" spans="1:24" s="73" customFormat="1" ht="21.75" customHeight="1">
      <c r="A269" s="216" t="s">
        <v>4</v>
      </c>
      <c r="B269" s="197" t="s">
        <v>5</v>
      </c>
      <c r="C269" s="198"/>
      <c r="D269" s="216" t="s">
        <v>6</v>
      </c>
      <c r="E269" s="178"/>
      <c r="F269" s="204" t="s">
        <v>7</v>
      </c>
      <c r="G269" s="205"/>
      <c r="H269" s="206"/>
      <c r="I269" s="216" t="s">
        <v>8</v>
      </c>
      <c r="J269" s="204" t="s">
        <v>9</v>
      </c>
      <c r="K269" s="205"/>
      <c r="L269" s="205"/>
      <c r="M269" s="205"/>
      <c r="N269" s="206"/>
      <c r="O269" s="204" t="s">
        <v>10</v>
      </c>
      <c r="P269" s="205"/>
      <c r="Q269" s="205"/>
      <c r="R269" s="205"/>
      <c r="S269" s="205"/>
      <c r="T269" s="206"/>
      <c r="U269" s="7"/>
      <c r="V269" s="18"/>
      <c r="W269" s="18"/>
      <c r="X269" s="18"/>
    </row>
    <row r="270" spans="1:24" s="73" customFormat="1" ht="21" customHeight="1">
      <c r="A270" s="217"/>
      <c r="B270" s="199"/>
      <c r="C270" s="200"/>
      <c r="D270" s="217"/>
      <c r="E270" s="177"/>
      <c r="F270" s="57" t="s">
        <v>11</v>
      </c>
      <c r="G270" s="182" t="s">
        <v>12</v>
      </c>
      <c r="H270" s="182" t="s">
        <v>13</v>
      </c>
      <c r="I270" s="217"/>
      <c r="J270" s="182" t="s">
        <v>14</v>
      </c>
      <c r="K270" s="182" t="s">
        <v>50</v>
      </c>
      <c r="L270" s="182" t="s">
        <v>15</v>
      </c>
      <c r="M270" s="182" t="s">
        <v>16</v>
      </c>
      <c r="N270" s="182" t="s">
        <v>17</v>
      </c>
      <c r="O270" s="182" t="s">
        <v>18</v>
      </c>
      <c r="P270" s="182" t="s">
        <v>19</v>
      </c>
      <c r="Q270" s="182" t="s">
        <v>51</v>
      </c>
      <c r="R270" s="182" t="s">
        <v>52</v>
      </c>
      <c r="S270" s="182" t="s">
        <v>20</v>
      </c>
      <c r="T270" s="182" t="s">
        <v>21</v>
      </c>
      <c r="U270" s="7"/>
      <c r="V270" s="18"/>
      <c r="W270" s="18"/>
      <c r="X270" s="18"/>
    </row>
    <row r="271" spans="1:24" s="73" customFormat="1" ht="11.25" customHeight="1">
      <c r="A271" s="183">
        <v>1</v>
      </c>
      <c r="B271" s="230">
        <v>2</v>
      </c>
      <c r="C271" s="231"/>
      <c r="D271" s="28">
        <v>3</v>
      </c>
      <c r="E271" s="28"/>
      <c r="F271" s="58">
        <v>4</v>
      </c>
      <c r="G271" s="28">
        <v>5</v>
      </c>
      <c r="H271" s="28">
        <v>6</v>
      </c>
      <c r="I271" s="28">
        <v>7</v>
      </c>
      <c r="J271" s="28">
        <v>8</v>
      </c>
      <c r="K271" s="28">
        <v>9</v>
      </c>
      <c r="L271" s="28">
        <v>10</v>
      </c>
      <c r="M271" s="28">
        <v>11</v>
      </c>
      <c r="N271" s="28">
        <v>12</v>
      </c>
      <c r="O271" s="28">
        <v>13</v>
      </c>
      <c r="P271" s="28">
        <v>14</v>
      </c>
      <c r="Q271" s="28">
        <v>15</v>
      </c>
      <c r="R271" s="28">
        <v>16</v>
      </c>
      <c r="S271" s="28">
        <v>17</v>
      </c>
      <c r="T271" s="28">
        <v>18</v>
      </c>
      <c r="U271" s="8"/>
      <c r="V271" s="18"/>
      <c r="W271" s="18"/>
      <c r="X271" s="18"/>
    </row>
    <row r="272" spans="1:24" s="73" customFormat="1" ht="11.25" customHeight="1">
      <c r="A272" s="245" t="s">
        <v>93</v>
      </c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7"/>
      <c r="U272" s="9"/>
      <c r="V272" s="18"/>
      <c r="W272" s="18"/>
      <c r="X272" s="18"/>
    </row>
    <row r="273" spans="1:24" s="154" customFormat="1" ht="21.75" customHeight="1">
      <c r="A273" s="144">
        <v>173</v>
      </c>
      <c r="B273" s="208" t="s">
        <v>83</v>
      </c>
      <c r="C273" s="209"/>
      <c r="D273" s="139">
        <v>250</v>
      </c>
      <c r="E273" s="140">
        <v>20.12</v>
      </c>
      <c r="F273" s="140">
        <f>7.3*D273/200</f>
        <v>9.125</v>
      </c>
      <c r="G273" s="140">
        <f>12.5*D273/200</f>
        <v>15.625</v>
      </c>
      <c r="H273" s="140">
        <f>54.3*D273/200</f>
        <v>67.875</v>
      </c>
      <c r="I273" s="140">
        <f>F273*4+G273*9+H273*4</f>
        <v>448.625</v>
      </c>
      <c r="J273" s="140">
        <f>0.14*D273/200</f>
        <v>0.175</v>
      </c>
      <c r="K273" s="140">
        <f>0.18*D273/200</f>
        <v>0.225</v>
      </c>
      <c r="L273" s="140">
        <f>3.35*D273/200</f>
        <v>4.1875</v>
      </c>
      <c r="M273" s="141">
        <f>0.037*D273/200</f>
        <v>0.04625</v>
      </c>
      <c r="N273" s="140">
        <f>1.3*D273/200</f>
        <v>1.625</v>
      </c>
      <c r="O273" s="138">
        <f>147.6*D273/200</f>
        <v>184.5</v>
      </c>
      <c r="P273" s="138">
        <f>198.6*D273/200</f>
        <v>248.25</v>
      </c>
      <c r="Q273" s="139">
        <v>0</v>
      </c>
      <c r="R273" s="138">
        <v>0</v>
      </c>
      <c r="S273" s="138">
        <f>57.8*D273/200</f>
        <v>72.25</v>
      </c>
      <c r="T273" s="140">
        <f>1.3*D273/200</f>
        <v>1.625</v>
      </c>
      <c r="U273" s="152"/>
      <c r="V273" s="153"/>
      <c r="W273" s="153"/>
      <c r="X273" s="153"/>
    </row>
    <row r="274" spans="1:24" s="121" customFormat="1" ht="12" customHeight="1">
      <c r="A274" s="149">
        <v>15</v>
      </c>
      <c r="B274" s="208" t="s">
        <v>64</v>
      </c>
      <c r="C274" s="209"/>
      <c r="D274" s="139">
        <v>25</v>
      </c>
      <c r="E274" s="140">
        <v>17.5</v>
      </c>
      <c r="F274" s="140">
        <f>2.32*D274/10</f>
        <v>5.799999999999999</v>
      </c>
      <c r="G274" s="140">
        <f>3.4*D274/10</f>
        <v>8.5</v>
      </c>
      <c r="H274" s="140">
        <f>0.01*D274/10</f>
        <v>0.025</v>
      </c>
      <c r="I274" s="140">
        <f>F274*4+G274*9+H274*4</f>
        <v>99.79999999999998</v>
      </c>
      <c r="J274" s="140">
        <f>0.004*D274/10</f>
        <v>0.01</v>
      </c>
      <c r="K274" s="140">
        <f>0.03*D274/10</f>
        <v>0.075</v>
      </c>
      <c r="L274" s="140">
        <f>0.07*D274/10</f>
        <v>0.17500000000000002</v>
      </c>
      <c r="M274" s="141">
        <f>0.023*D274/10</f>
        <v>0.057499999999999996</v>
      </c>
      <c r="N274" s="140">
        <f>0.05*D274/10</f>
        <v>0.125</v>
      </c>
      <c r="O274" s="140">
        <f>88*D274/10</f>
        <v>220</v>
      </c>
      <c r="P274" s="140">
        <f>50*D274/10</f>
        <v>125</v>
      </c>
      <c r="Q274" s="140">
        <f>0.4*D274/10</f>
        <v>1</v>
      </c>
      <c r="R274" s="141">
        <f>0.02*D274/10</f>
        <v>0.05</v>
      </c>
      <c r="S274" s="140">
        <f>3.5*D274/10</f>
        <v>8.75</v>
      </c>
      <c r="T274" s="140">
        <f>0.13*D274/10</f>
        <v>0.325</v>
      </c>
      <c r="U274" s="142"/>
      <c r="V274" s="122"/>
      <c r="W274" s="122"/>
      <c r="X274" s="123"/>
    </row>
    <row r="275" spans="1:24" s="121" customFormat="1" ht="12.75" customHeight="1">
      <c r="A275" s="183">
        <v>377</v>
      </c>
      <c r="B275" s="212" t="s">
        <v>41</v>
      </c>
      <c r="C275" s="212"/>
      <c r="D275" s="139">
        <v>200</v>
      </c>
      <c r="E275" s="140">
        <v>3.81</v>
      </c>
      <c r="F275" s="140">
        <v>0.26</v>
      </c>
      <c r="G275" s="140">
        <v>0.06</v>
      </c>
      <c r="H275" s="140">
        <v>15.22</v>
      </c>
      <c r="I275" s="140">
        <f>F275*4+G275*9+H275*4</f>
        <v>62.46</v>
      </c>
      <c r="J275" s="140"/>
      <c r="K275" s="140">
        <v>0.01</v>
      </c>
      <c r="L275" s="140">
        <v>2.9</v>
      </c>
      <c r="M275" s="137">
        <v>0</v>
      </c>
      <c r="N275" s="140">
        <v>0.06</v>
      </c>
      <c r="O275" s="140">
        <v>8.05</v>
      </c>
      <c r="P275" s="140">
        <v>9.78</v>
      </c>
      <c r="Q275" s="140">
        <v>0.017</v>
      </c>
      <c r="R275" s="141">
        <v>0</v>
      </c>
      <c r="S275" s="140">
        <v>5.24</v>
      </c>
      <c r="T275" s="140">
        <v>0.87</v>
      </c>
      <c r="U275" s="142"/>
      <c r="V275" s="143"/>
      <c r="W275" s="143"/>
      <c r="X275" s="143"/>
    </row>
    <row r="276" spans="1:24" s="121" customFormat="1" ht="11.25" customHeight="1">
      <c r="A276" s="149">
        <v>338</v>
      </c>
      <c r="B276" s="212" t="s">
        <v>82</v>
      </c>
      <c r="C276" s="212"/>
      <c r="D276" s="139">
        <v>130</v>
      </c>
      <c r="E276" s="140">
        <v>29.05</v>
      </c>
      <c r="F276" s="140">
        <v>0.4</v>
      </c>
      <c r="G276" s="140">
        <v>0.4</v>
      </c>
      <c r="H276" s="140">
        <v>9.8</v>
      </c>
      <c r="I276" s="140">
        <f>F276*4+G276*9+H276*4</f>
        <v>44.400000000000006</v>
      </c>
      <c r="J276" s="140">
        <v>0.04</v>
      </c>
      <c r="K276" s="140">
        <v>0.02</v>
      </c>
      <c r="L276" s="139">
        <v>10</v>
      </c>
      <c r="M276" s="139">
        <v>0.02</v>
      </c>
      <c r="N276" s="140">
        <v>0.2</v>
      </c>
      <c r="O276" s="140">
        <v>16</v>
      </c>
      <c r="P276" s="140">
        <v>11</v>
      </c>
      <c r="Q276" s="139">
        <v>0.03</v>
      </c>
      <c r="R276" s="139">
        <v>0.002</v>
      </c>
      <c r="S276" s="140">
        <v>9</v>
      </c>
      <c r="T276" s="140">
        <v>2.2</v>
      </c>
      <c r="U276" s="142"/>
      <c r="V276" s="122"/>
      <c r="W276" s="122"/>
      <c r="X276" s="123"/>
    </row>
    <row r="277" spans="1:24" s="121" customFormat="1" ht="11.25" customHeight="1">
      <c r="A277" s="144" t="s">
        <v>58</v>
      </c>
      <c r="B277" s="208" t="s">
        <v>47</v>
      </c>
      <c r="C277" s="209"/>
      <c r="D277" s="139">
        <v>30</v>
      </c>
      <c r="E277" s="140">
        <v>2.52</v>
      </c>
      <c r="F277" s="140">
        <f>1.52*D277/30</f>
        <v>1.52</v>
      </c>
      <c r="G277" s="141">
        <f>0.16*D277/30</f>
        <v>0.16</v>
      </c>
      <c r="H277" s="141">
        <f>9.84*D277/30</f>
        <v>9.84</v>
      </c>
      <c r="I277" s="141">
        <f>F277*4+G277*9+H277*4</f>
        <v>46.879999999999995</v>
      </c>
      <c r="J277" s="141">
        <f>0.02*D277/30</f>
        <v>0.02</v>
      </c>
      <c r="K277" s="141">
        <f>0.01*D277/30</f>
        <v>0.01</v>
      </c>
      <c r="L277" s="141">
        <f>0.44*D277/30</f>
        <v>0.44</v>
      </c>
      <c r="M277" s="141">
        <v>0</v>
      </c>
      <c r="N277" s="141">
        <f>0.7*D277/30</f>
        <v>0.7</v>
      </c>
      <c r="O277" s="141">
        <f>4*D277/30</f>
        <v>4</v>
      </c>
      <c r="P277" s="141">
        <f>13*D277/30</f>
        <v>13</v>
      </c>
      <c r="Q277" s="141">
        <f>0.008*D277/30</f>
        <v>0.008</v>
      </c>
      <c r="R277" s="141">
        <f>0.001*D277/30</f>
        <v>0.001</v>
      </c>
      <c r="S277" s="141">
        <v>0</v>
      </c>
      <c r="T277" s="141">
        <f>0.22*D277/30</f>
        <v>0.22</v>
      </c>
      <c r="U277" s="142"/>
      <c r="V277" s="143"/>
      <c r="W277" s="143"/>
      <c r="X277" s="143"/>
    </row>
    <row r="278" spans="1:24" s="1" customFormat="1" ht="11.25" customHeight="1">
      <c r="A278" s="133" t="s">
        <v>95</v>
      </c>
      <c r="B278" s="134"/>
      <c r="C278" s="134"/>
      <c r="D278" s="135">
        <f aca="true" t="shared" si="72" ref="D278:T278">SUM(D273:D277)</f>
        <v>635</v>
      </c>
      <c r="E278" s="150">
        <f t="shared" si="72"/>
        <v>73</v>
      </c>
      <c r="F278" s="127">
        <f t="shared" si="72"/>
        <v>17.105</v>
      </c>
      <c r="G278" s="126">
        <f t="shared" si="72"/>
        <v>24.744999999999997</v>
      </c>
      <c r="H278" s="126">
        <f t="shared" si="72"/>
        <v>102.76</v>
      </c>
      <c r="I278" s="126">
        <f t="shared" si="72"/>
        <v>702.165</v>
      </c>
      <c r="J278" s="127">
        <f t="shared" si="72"/>
        <v>0.245</v>
      </c>
      <c r="K278" s="127">
        <f t="shared" si="72"/>
        <v>0.34</v>
      </c>
      <c r="L278" s="127">
        <f t="shared" si="72"/>
        <v>17.7025</v>
      </c>
      <c r="M278" s="127">
        <f t="shared" si="72"/>
        <v>0.12375</v>
      </c>
      <c r="N278" s="127">
        <f t="shared" si="72"/>
        <v>2.71</v>
      </c>
      <c r="O278" s="127">
        <f t="shared" si="72"/>
        <v>432.55</v>
      </c>
      <c r="P278" s="127">
        <f t="shared" si="72"/>
        <v>407.03</v>
      </c>
      <c r="Q278" s="127">
        <f t="shared" si="72"/>
        <v>1.055</v>
      </c>
      <c r="R278" s="128">
        <f t="shared" si="72"/>
        <v>0.053000000000000005</v>
      </c>
      <c r="S278" s="127">
        <f t="shared" si="72"/>
        <v>95.24</v>
      </c>
      <c r="T278" s="127">
        <f t="shared" si="72"/>
        <v>5.239999999999999</v>
      </c>
      <c r="U278" s="126"/>
      <c r="V278" s="129"/>
      <c r="W278" s="129"/>
      <c r="X278" s="129"/>
    </row>
    <row r="279" spans="1:24" s="1" customFormat="1" ht="11.25" customHeight="1">
      <c r="A279" s="225" t="s">
        <v>55</v>
      </c>
      <c r="B279" s="226"/>
      <c r="C279" s="226"/>
      <c r="D279" s="227"/>
      <c r="E279" s="174"/>
      <c r="F279" s="148">
        <f aca="true" t="shared" si="73" ref="F279:T279">F278/F296</f>
        <v>0.19005555555555556</v>
      </c>
      <c r="G279" s="130">
        <f t="shared" si="73"/>
        <v>0.2689673913043478</v>
      </c>
      <c r="H279" s="130">
        <f t="shared" si="73"/>
        <v>0.2683028720626632</v>
      </c>
      <c r="I279" s="130">
        <f t="shared" si="73"/>
        <v>0.2581488970588235</v>
      </c>
      <c r="J279" s="130">
        <f t="shared" si="73"/>
        <v>0.17500000000000002</v>
      </c>
      <c r="K279" s="130">
        <f t="shared" si="73"/>
        <v>0.2125</v>
      </c>
      <c r="L279" s="130">
        <f t="shared" si="73"/>
        <v>0.25289285714285714</v>
      </c>
      <c r="M279" s="130">
        <f t="shared" si="73"/>
        <v>0.13749999999999998</v>
      </c>
      <c r="N279" s="130">
        <f t="shared" si="73"/>
        <v>0.22583333333333333</v>
      </c>
      <c r="O279" s="130">
        <f t="shared" si="73"/>
        <v>0.3604583333333333</v>
      </c>
      <c r="P279" s="130">
        <f t="shared" si="73"/>
        <v>0.33919166666666667</v>
      </c>
      <c r="Q279" s="130">
        <f t="shared" si="73"/>
        <v>0.07535714285714286</v>
      </c>
      <c r="R279" s="130">
        <f t="shared" si="73"/>
        <v>0.53</v>
      </c>
      <c r="S279" s="130">
        <f t="shared" si="73"/>
        <v>0.3174666666666667</v>
      </c>
      <c r="T279" s="130">
        <f t="shared" si="73"/>
        <v>0.2911111111111111</v>
      </c>
      <c r="U279" s="131"/>
      <c r="V279" s="129"/>
      <c r="W279" s="129"/>
      <c r="X279" s="129"/>
    </row>
    <row r="280" spans="1:24" s="1" customFormat="1" ht="11.25" customHeight="1">
      <c r="A280" s="245" t="s">
        <v>24</v>
      </c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7"/>
      <c r="U280" s="9"/>
      <c r="V280" s="22"/>
      <c r="W280" s="22"/>
      <c r="X280" s="22"/>
    </row>
    <row r="281" spans="1:24" s="121" customFormat="1" ht="20.25" customHeight="1">
      <c r="A281" s="136" t="s">
        <v>110</v>
      </c>
      <c r="B281" s="208" t="s">
        <v>111</v>
      </c>
      <c r="C281" s="209"/>
      <c r="D281" s="145">
        <v>100</v>
      </c>
      <c r="E281" s="145">
        <v>10.99</v>
      </c>
      <c r="F281" s="188">
        <v>1.28</v>
      </c>
      <c r="G281" s="188">
        <v>3.4</v>
      </c>
      <c r="H281" s="188">
        <v>3.76</v>
      </c>
      <c r="I281" s="188">
        <v>50.8</v>
      </c>
      <c r="J281" s="146">
        <v>0.03</v>
      </c>
      <c r="K281" s="188">
        <v>0.033</v>
      </c>
      <c r="L281" s="187">
        <v>33.25</v>
      </c>
      <c r="M281" s="146">
        <v>0.017</v>
      </c>
      <c r="N281" s="145">
        <v>0.13</v>
      </c>
      <c r="O281" s="188">
        <v>42.83</v>
      </c>
      <c r="P281" s="188">
        <v>22.7</v>
      </c>
      <c r="Q281" s="146">
        <v>0.28</v>
      </c>
      <c r="R281" s="146">
        <v>0.05</v>
      </c>
      <c r="S281" s="188">
        <v>15</v>
      </c>
      <c r="T281" s="188">
        <v>0.46</v>
      </c>
      <c r="U281" s="124"/>
      <c r="V281" s="125"/>
      <c r="W281" s="125"/>
      <c r="X281" s="125"/>
    </row>
    <row r="282" spans="1:24" s="154" customFormat="1" ht="12.75" customHeight="1">
      <c r="A282" s="183">
        <v>84</v>
      </c>
      <c r="B282" s="208" t="s">
        <v>65</v>
      </c>
      <c r="C282" s="209"/>
      <c r="D282" s="137">
        <v>250</v>
      </c>
      <c r="E282" s="140">
        <v>15.07</v>
      </c>
      <c r="F282" s="140">
        <f>1.77*D282/200</f>
        <v>2.2125</v>
      </c>
      <c r="G282" s="140">
        <f>2.65*D282/200</f>
        <v>3.3125</v>
      </c>
      <c r="H282" s="140">
        <f>12.74*D282/200</f>
        <v>15.925</v>
      </c>
      <c r="I282" s="140">
        <f aca="true" t="shared" si="74" ref="I282:I287">F282*4+G282*9+H282*4</f>
        <v>102.36250000000001</v>
      </c>
      <c r="J282" s="141">
        <f>0.05*D282/200</f>
        <v>0.0625</v>
      </c>
      <c r="K282" s="141">
        <f>0.05*D282/200</f>
        <v>0.0625</v>
      </c>
      <c r="L282" s="140">
        <f>19*D282/200</f>
        <v>23.75</v>
      </c>
      <c r="M282" s="140">
        <f>0.74*D282/200</f>
        <v>0.925</v>
      </c>
      <c r="N282" s="137">
        <f>0.1*D282/200</f>
        <v>0.125</v>
      </c>
      <c r="O282" s="140">
        <f>43.11*D282/200</f>
        <v>53.8875</v>
      </c>
      <c r="P282" s="140">
        <f>48.75*D282/200</f>
        <v>60.9375</v>
      </c>
      <c r="Q282" s="141">
        <f>1.3*D282/200</f>
        <v>1.625</v>
      </c>
      <c r="R282" s="141">
        <f>0.0032*D282/200</f>
        <v>0.004</v>
      </c>
      <c r="S282" s="140">
        <f>22.44*D282/200</f>
        <v>28.05</v>
      </c>
      <c r="T282" s="140">
        <f>0.8*D282/200</f>
        <v>1</v>
      </c>
      <c r="U282" s="152"/>
      <c r="V282" s="153"/>
      <c r="W282" s="153"/>
      <c r="X282" s="153"/>
    </row>
    <row r="283" spans="1:24" s="154" customFormat="1" ht="12.75" customHeight="1">
      <c r="A283" s="183">
        <v>295</v>
      </c>
      <c r="B283" s="254" t="s">
        <v>67</v>
      </c>
      <c r="C283" s="255"/>
      <c r="D283" s="137">
        <v>100</v>
      </c>
      <c r="E283" s="137">
        <v>49.67</v>
      </c>
      <c r="F283" s="140">
        <v>15.24</v>
      </c>
      <c r="G283" s="138">
        <v>5.8</v>
      </c>
      <c r="H283" s="138">
        <v>10.16</v>
      </c>
      <c r="I283" s="140">
        <v>153.8</v>
      </c>
      <c r="J283" s="137">
        <v>0.09</v>
      </c>
      <c r="K283" s="140">
        <v>0.08</v>
      </c>
      <c r="L283" s="140">
        <v>0.24</v>
      </c>
      <c r="M283" s="137">
        <f>0.001*D283/100</f>
        <v>0.001</v>
      </c>
      <c r="N283" s="137">
        <v>0.074</v>
      </c>
      <c r="O283" s="138">
        <v>14.03</v>
      </c>
      <c r="P283" s="138">
        <v>93.98</v>
      </c>
      <c r="Q283" s="140">
        <v>1.17</v>
      </c>
      <c r="R283" s="141">
        <v>0.04</v>
      </c>
      <c r="S283" s="138">
        <v>16.24</v>
      </c>
      <c r="T283" s="140">
        <v>1.89</v>
      </c>
      <c r="U283" s="152"/>
      <c r="V283" s="153"/>
      <c r="W283" s="153"/>
      <c r="X283" s="153"/>
    </row>
    <row r="284" spans="1:24" s="154" customFormat="1" ht="12" customHeight="1">
      <c r="A284" s="183">
        <v>203</v>
      </c>
      <c r="B284" s="208" t="s">
        <v>66</v>
      </c>
      <c r="C284" s="209"/>
      <c r="D284" s="139">
        <v>180</v>
      </c>
      <c r="E284" s="140">
        <v>8.77</v>
      </c>
      <c r="F284" s="140">
        <v>6.84</v>
      </c>
      <c r="G284" s="140">
        <v>4.116</v>
      </c>
      <c r="H284" s="140">
        <v>43.74000000000001</v>
      </c>
      <c r="I284" s="140">
        <v>239.36400000000003</v>
      </c>
      <c r="J284" s="140">
        <v>0.108</v>
      </c>
      <c r="K284" s="140">
        <v>0.036</v>
      </c>
      <c r="L284" s="140">
        <v>0</v>
      </c>
      <c r="M284" s="141">
        <v>0.036</v>
      </c>
      <c r="N284" s="140">
        <v>1.5</v>
      </c>
      <c r="O284" s="140">
        <v>15.936</v>
      </c>
      <c r="P284" s="140">
        <v>55.452</v>
      </c>
      <c r="Q284" s="140">
        <v>0.936</v>
      </c>
      <c r="R284" s="141">
        <v>0.0018000000000000002</v>
      </c>
      <c r="S284" s="140">
        <v>10.164000000000001</v>
      </c>
      <c r="T284" s="140">
        <v>1.032</v>
      </c>
      <c r="U284" s="152"/>
      <c r="V284" s="153"/>
      <c r="W284" s="153"/>
      <c r="X284" s="153"/>
    </row>
    <row r="285" spans="1:24" s="154" customFormat="1" ht="11.25">
      <c r="A285" s="69">
        <v>345</v>
      </c>
      <c r="B285" s="213" t="s">
        <v>44</v>
      </c>
      <c r="C285" s="213"/>
      <c r="D285" s="71">
        <v>200</v>
      </c>
      <c r="E285" s="67">
        <v>4.9</v>
      </c>
      <c r="F285" s="67">
        <v>0.06</v>
      </c>
      <c r="G285" s="67">
        <v>0.02</v>
      </c>
      <c r="H285" s="67">
        <v>20.73</v>
      </c>
      <c r="I285" s="67">
        <v>83.34</v>
      </c>
      <c r="J285" s="67">
        <v>0</v>
      </c>
      <c r="K285" s="67">
        <v>0</v>
      </c>
      <c r="L285" s="67">
        <v>2.5</v>
      </c>
      <c r="M285" s="67">
        <v>0.004</v>
      </c>
      <c r="N285" s="67">
        <v>0.2</v>
      </c>
      <c r="O285" s="67">
        <v>4</v>
      </c>
      <c r="P285" s="67">
        <v>3.3</v>
      </c>
      <c r="Q285" s="67">
        <v>0.08</v>
      </c>
      <c r="R285" s="67">
        <v>0.001</v>
      </c>
      <c r="S285" s="67">
        <v>1.7</v>
      </c>
      <c r="T285" s="67">
        <v>0.15</v>
      </c>
      <c r="U285" s="152"/>
      <c r="V285" s="153"/>
      <c r="W285" s="153"/>
      <c r="X285" s="153"/>
    </row>
    <row r="286" spans="1:24" s="154" customFormat="1" ht="11.25" customHeight="1">
      <c r="A286" s="52" t="s">
        <v>58</v>
      </c>
      <c r="B286" s="208" t="s">
        <v>42</v>
      </c>
      <c r="C286" s="209"/>
      <c r="D286" s="139">
        <v>40</v>
      </c>
      <c r="E286" s="140">
        <v>2.08</v>
      </c>
      <c r="F286" s="140">
        <f>2.64*D286/40</f>
        <v>2.64</v>
      </c>
      <c r="G286" s="140">
        <f>0.48*D286/40</f>
        <v>0.48</v>
      </c>
      <c r="H286" s="140">
        <f>13.68*D286/40</f>
        <v>13.680000000000001</v>
      </c>
      <c r="I286" s="138">
        <f t="shared" si="74"/>
        <v>69.60000000000001</v>
      </c>
      <c r="J286" s="137">
        <f>0.08*D286/40</f>
        <v>0.08</v>
      </c>
      <c r="K286" s="140">
        <f>0.04*D286/40</f>
        <v>0.04</v>
      </c>
      <c r="L286" s="139">
        <v>0</v>
      </c>
      <c r="M286" s="139">
        <v>0</v>
      </c>
      <c r="N286" s="140">
        <f>2.4*D286/40</f>
        <v>2.4</v>
      </c>
      <c r="O286" s="140">
        <f>14*D286/40</f>
        <v>14</v>
      </c>
      <c r="P286" s="140">
        <f>63.2*D286/40</f>
        <v>63.2</v>
      </c>
      <c r="Q286" s="140">
        <f>1.2*D286/40</f>
        <v>1.2</v>
      </c>
      <c r="R286" s="141">
        <f>0.001*D286/40</f>
        <v>0.001</v>
      </c>
      <c r="S286" s="140">
        <f>9.4*D286/40</f>
        <v>9.4</v>
      </c>
      <c r="T286" s="137">
        <f>0.78*D286/40</f>
        <v>0.78</v>
      </c>
      <c r="U286" s="160"/>
      <c r="V286" s="161"/>
      <c r="W286" s="161"/>
      <c r="X286" s="161"/>
    </row>
    <row r="287" spans="1:24" s="73" customFormat="1" ht="11.25" customHeight="1">
      <c r="A287" s="144" t="s">
        <v>58</v>
      </c>
      <c r="B287" s="208" t="s">
        <v>47</v>
      </c>
      <c r="C287" s="209"/>
      <c r="D287" s="139">
        <v>30</v>
      </c>
      <c r="E287" s="140">
        <v>2.52</v>
      </c>
      <c r="F287" s="140">
        <f>1.52*D287/30</f>
        <v>1.52</v>
      </c>
      <c r="G287" s="141">
        <f>0.16*D287/30</f>
        <v>0.16</v>
      </c>
      <c r="H287" s="141">
        <f>9.84*D287/30</f>
        <v>9.84</v>
      </c>
      <c r="I287" s="141">
        <f t="shared" si="74"/>
        <v>46.879999999999995</v>
      </c>
      <c r="J287" s="141">
        <f>0.02*D287/30</f>
        <v>0.02</v>
      </c>
      <c r="K287" s="141">
        <f>0.01*D287/30</f>
        <v>0.01</v>
      </c>
      <c r="L287" s="141">
        <f>0.44*D287/30</f>
        <v>0.44</v>
      </c>
      <c r="M287" s="141">
        <v>0</v>
      </c>
      <c r="N287" s="141">
        <f>0.7*D287/30</f>
        <v>0.7</v>
      </c>
      <c r="O287" s="141">
        <f>4*D287/30</f>
        <v>4</v>
      </c>
      <c r="P287" s="141">
        <f>13*D287/30</f>
        <v>13</v>
      </c>
      <c r="Q287" s="141">
        <f>0.008*D287/30</f>
        <v>0.008</v>
      </c>
      <c r="R287" s="141">
        <f>0.001*D287/30</f>
        <v>0.001</v>
      </c>
      <c r="S287" s="141">
        <v>0</v>
      </c>
      <c r="T287" s="141">
        <f>0.22*D287/30</f>
        <v>0.22</v>
      </c>
      <c r="U287" s="77"/>
      <c r="V287" s="78"/>
      <c r="W287" s="78"/>
      <c r="X287" s="78"/>
    </row>
    <row r="288" spans="1:24" s="73" customFormat="1" ht="11.25" customHeight="1">
      <c r="A288" s="133" t="s">
        <v>25</v>
      </c>
      <c r="B288" s="134"/>
      <c r="C288" s="134"/>
      <c r="D288" s="135">
        <f aca="true" t="shared" si="75" ref="D288:I288">SUM(D281:D287)</f>
        <v>900</v>
      </c>
      <c r="E288" s="150">
        <f t="shared" si="75"/>
        <v>94</v>
      </c>
      <c r="F288" s="127">
        <f t="shared" si="75"/>
        <v>29.7925</v>
      </c>
      <c r="G288" s="126">
        <f t="shared" si="75"/>
        <v>17.2885</v>
      </c>
      <c r="H288" s="126">
        <f t="shared" si="75"/>
        <v>117.83500000000002</v>
      </c>
      <c r="I288" s="126">
        <f t="shared" si="75"/>
        <v>746.1465000000002</v>
      </c>
      <c r="J288" s="127">
        <f aca="true" t="shared" si="76" ref="J288:T288">SUM(J281:J287)</f>
        <v>0.3905</v>
      </c>
      <c r="K288" s="127">
        <f t="shared" si="76"/>
        <v>0.2615</v>
      </c>
      <c r="L288" s="126">
        <f t="shared" si="76"/>
        <v>60.18</v>
      </c>
      <c r="M288" s="127">
        <f t="shared" si="76"/>
        <v>0.9830000000000001</v>
      </c>
      <c r="N288" s="32">
        <f t="shared" si="76"/>
        <v>5.1290000000000004</v>
      </c>
      <c r="O288" s="126">
        <f t="shared" si="76"/>
        <v>148.6835</v>
      </c>
      <c r="P288" s="126">
        <f t="shared" si="76"/>
        <v>312.5695</v>
      </c>
      <c r="Q288" s="127">
        <f t="shared" si="76"/>
        <v>5.299</v>
      </c>
      <c r="R288" s="127">
        <f t="shared" si="76"/>
        <v>0.0988</v>
      </c>
      <c r="S288" s="126">
        <f t="shared" si="76"/>
        <v>80.554</v>
      </c>
      <c r="T288" s="127">
        <f t="shared" si="76"/>
        <v>5.532</v>
      </c>
      <c r="U288" s="29"/>
      <c r="V288" s="74"/>
      <c r="W288" s="74"/>
      <c r="X288" s="74"/>
    </row>
    <row r="289" spans="1:24" s="73" customFormat="1" ht="11.25" customHeight="1">
      <c r="A289" s="225" t="s">
        <v>55</v>
      </c>
      <c r="B289" s="226"/>
      <c r="C289" s="226"/>
      <c r="D289" s="227"/>
      <c r="E289" s="174"/>
      <c r="F289" s="148">
        <f aca="true" t="shared" si="77" ref="F289:T289">F288/F296</f>
        <v>0.3310277777777778</v>
      </c>
      <c r="G289" s="130">
        <f t="shared" si="77"/>
        <v>0.18791847826086955</v>
      </c>
      <c r="H289" s="130">
        <f t="shared" si="77"/>
        <v>0.3076631853785901</v>
      </c>
      <c r="I289" s="130">
        <f t="shared" si="77"/>
        <v>0.27431856617647066</v>
      </c>
      <c r="J289" s="130">
        <f t="shared" si="77"/>
        <v>0.27892857142857147</v>
      </c>
      <c r="K289" s="130">
        <f t="shared" si="77"/>
        <v>0.16343749999999999</v>
      </c>
      <c r="L289" s="130">
        <f t="shared" si="77"/>
        <v>0.8597142857142858</v>
      </c>
      <c r="M289" s="130">
        <f t="shared" si="77"/>
        <v>1.0922222222222222</v>
      </c>
      <c r="N289" s="130">
        <f t="shared" si="77"/>
        <v>0.4274166666666667</v>
      </c>
      <c r="O289" s="130">
        <f t="shared" si="77"/>
        <v>0.12390291666666667</v>
      </c>
      <c r="P289" s="130">
        <f t="shared" si="77"/>
        <v>0.26047458333333334</v>
      </c>
      <c r="Q289" s="130">
        <f t="shared" si="77"/>
        <v>0.3785</v>
      </c>
      <c r="R289" s="130">
        <f t="shared" si="77"/>
        <v>0.988</v>
      </c>
      <c r="S289" s="130">
        <f t="shared" si="77"/>
        <v>0.2685133333333333</v>
      </c>
      <c r="T289" s="130">
        <f t="shared" si="77"/>
        <v>0.30733333333333335</v>
      </c>
      <c r="U289" s="76"/>
      <c r="V289" s="74"/>
      <c r="W289" s="74"/>
      <c r="X289" s="74"/>
    </row>
    <row r="290" spans="1:24" s="73" customFormat="1" ht="11.25" customHeight="1">
      <c r="A290" s="245" t="s">
        <v>26</v>
      </c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7"/>
      <c r="U290" s="9"/>
      <c r="V290" s="22"/>
      <c r="W290" s="22"/>
      <c r="X290" s="22"/>
    </row>
    <row r="291" spans="1:24" s="68" customFormat="1" ht="21.75" customHeight="1">
      <c r="A291" s="166"/>
      <c r="B291" s="223"/>
      <c r="C291" s="223"/>
      <c r="D291" s="168"/>
      <c r="E291" s="164"/>
      <c r="F291" s="164"/>
      <c r="G291" s="169"/>
      <c r="H291" s="169"/>
      <c r="I291" s="169"/>
      <c r="J291" s="164"/>
      <c r="K291" s="164"/>
      <c r="L291" s="164"/>
      <c r="M291" s="164"/>
      <c r="N291" s="168"/>
      <c r="O291" s="164"/>
      <c r="P291" s="164"/>
      <c r="Q291" s="169"/>
      <c r="R291" s="164"/>
      <c r="S291" s="169"/>
      <c r="T291" s="164"/>
      <c r="V291" s="228" t="s">
        <v>60</v>
      </c>
      <c r="W291" s="228" t="s">
        <v>61</v>
      </c>
      <c r="X291" s="228" t="s">
        <v>62</v>
      </c>
    </row>
    <row r="292" spans="1:24" s="68" customFormat="1" ht="11.25" customHeight="1">
      <c r="A292" s="87"/>
      <c r="B292" s="213"/>
      <c r="C292" s="213"/>
      <c r="D292" s="71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V292" s="228"/>
      <c r="W292" s="228"/>
      <c r="X292" s="228"/>
    </row>
    <row r="293" spans="1:24" s="1" customFormat="1" ht="11.25" customHeight="1">
      <c r="A293" s="133" t="s">
        <v>27</v>
      </c>
      <c r="B293" s="134"/>
      <c r="C293" s="134"/>
      <c r="D293" s="135">
        <f aca="true" t="shared" si="78" ref="D293:T293">SUM(D291:D292)</f>
        <v>0</v>
      </c>
      <c r="E293" s="150">
        <f t="shared" si="78"/>
        <v>0</v>
      </c>
      <c r="F293" s="150">
        <f t="shared" si="78"/>
        <v>0</v>
      </c>
      <c r="G293" s="150">
        <f t="shared" si="78"/>
        <v>0</v>
      </c>
      <c r="H293" s="150">
        <f t="shared" si="78"/>
        <v>0</v>
      </c>
      <c r="I293" s="150">
        <f t="shared" si="78"/>
        <v>0</v>
      </c>
      <c r="J293" s="150">
        <f t="shared" si="78"/>
        <v>0</v>
      </c>
      <c r="K293" s="150">
        <f t="shared" si="78"/>
        <v>0</v>
      </c>
      <c r="L293" s="150">
        <f t="shared" si="78"/>
        <v>0</v>
      </c>
      <c r="M293" s="150">
        <f t="shared" si="78"/>
        <v>0</v>
      </c>
      <c r="N293" s="150">
        <f t="shared" si="78"/>
        <v>0</v>
      </c>
      <c r="O293" s="150">
        <f t="shared" si="78"/>
        <v>0</v>
      </c>
      <c r="P293" s="150">
        <f t="shared" si="78"/>
        <v>0</v>
      </c>
      <c r="Q293" s="150">
        <f t="shared" si="78"/>
        <v>0</v>
      </c>
      <c r="R293" s="150">
        <f t="shared" si="78"/>
        <v>0</v>
      </c>
      <c r="S293" s="150">
        <f t="shared" si="78"/>
        <v>0</v>
      </c>
      <c r="T293" s="150">
        <f t="shared" si="78"/>
        <v>0</v>
      </c>
      <c r="U293" s="29"/>
      <c r="V293" s="228"/>
      <c r="W293" s="228"/>
      <c r="X293" s="228"/>
    </row>
    <row r="294" spans="1:24" s="1" customFormat="1" ht="11.25" customHeight="1">
      <c r="A294" s="225" t="s">
        <v>55</v>
      </c>
      <c r="B294" s="226"/>
      <c r="C294" s="226"/>
      <c r="D294" s="227"/>
      <c r="E294" s="175"/>
      <c r="F294" s="51">
        <f>F293/F296</f>
        <v>0</v>
      </c>
      <c r="G294" s="130">
        <f aca="true" t="shared" si="79" ref="G294:T294">G293/G296</f>
        <v>0</v>
      </c>
      <c r="H294" s="130">
        <f t="shared" si="79"/>
        <v>0</v>
      </c>
      <c r="I294" s="130">
        <f t="shared" si="79"/>
        <v>0</v>
      </c>
      <c r="J294" s="130">
        <f t="shared" si="79"/>
        <v>0</v>
      </c>
      <c r="K294" s="130">
        <f t="shared" si="79"/>
        <v>0</v>
      </c>
      <c r="L294" s="130">
        <f t="shared" si="79"/>
        <v>0</v>
      </c>
      <c r="M294" s="130">
        <f t="shared" si="79"/>
        <v>0</v>
      </c>
      <c r="N294" s="130">
        <f t="shared" si="79"/>
        <v>0</v>
      </c>
      <c r="O294" s="130">
        <f t="shared" si="79"/>
        <v>0</v>
      </c>
      <c r="P294" s="130">
        <f t="shared" si="79"/>
        <v>0</v>
      </c>
      <c r="Q294" s="130">
        <f t="shared" si="79"/>
        <v>0</v>
      </c>
      <c r="R294" s="130">
        <f t="shared" si="79"/>
        <v>0</v>
      </c>
      <c r="S294" s="130">
        <f t="shared" si="79"/>
        <v>0</v>
      </c>
      <c r="T294" s="130">
        <f t="shared" si="79"/>
        <v>0</v>
      </c>
      <c r="U294" s="76"/>
      <c r="V294" s="79"/>
      <c r="W294" s="79"/>
      <c r="X294" s="79"/>
    </row>
    <row r="295" spans="1:24" s="1" customFormat="1" ht="11.25" customHeight="1">
      <c r="A295" s="133" t="s">
        <v>54</v>
      </c>
      <c r="B295" s="134"/>
      <c r="C295" s="134"/>
      <c r="D295" s="61">
        <f>D288+D278</f>
        <v>1535</v>
      </c>
      <c r="E295" s="151">
        <f>E288+E278</f>
        <v>167</v>
      </c>
      <c r="F295" s="127">
        <f aca="true" t="shared" si="80" ref="F295:T295">SUM(F278,F288,F293)</f>
        <v>46.8975</v>
      </c>
      <c r="G295" s="126">
        <f t="shared" si="80"/>
        <v>42.0335</v>
      </c>
      <c r="H295" s="126">
        <f t="shared" si="80"/>
        <v>220.59500000000003</v>
      </c>
      <c r="I295" s="126">
        <f t="shared" si="80"/>
        <v>1448.3115000000003</v>
      </c>
      <c r="J295" s="127">
        <f t="shared" si="80"/>
        <v>0.6355</v>
      </c>
      <c r="K295" s="127">
        <f t="shared" si="80"/>
        <v>0.6015</v>
      </c>
      <c r="L295" s="126">
        <f t="shared" si="80"/>
        <v>77.8825</v>
      </c>
      <c r="M295" s="127">
        <f t="shared" si="80"/>
        <v>1.1067500000000001</v>
      </c>
      <c r="N295" s="127">
        <f t="shared" si="80"/>
        <v>7.839</v>
      </c>
      <c r="O295" s="126">
        <f t="shared" si="80"/>
        <v>581.2335</v>
      </c>
      <c r="P295" s="126">
        <f t="shared" si="80"/>
        <v>719.5995</v>
      </c>
      <c r="Q295" s="127">
        <f t="shared" si="80"/>
        <v>6.354</v>
      </c>
      <c r="R295" s="128">
        <f t="shared" si="80"/>
        <v>0.1518</v>
      </c>
      <c r="S295" s="127">
        <f t="shared" si="80"/>
        <v>175.79399999999998</v>
      </c>
      <c r="T295" s="127">
        <f t="shared" si="80"/>
        <v>10.771999999999998</v>
      </c>
      <c r="U295" s="31"/>
      <c r="V295" s="51">
        <f>AVERAGE(I279,I312,I345,I384,I420)</f>
        <v>0.229203125</v>
      </c>
      <c r="W295" s="51">
        <f>AVERAGE(I289,I321,I357,I395,I432)</f>
        <v>447.31615928308827</v>
      </c>
      <c r="X295" s="51">
        <f>AVERAGE(I294,I327,I364,I401,I438)</f>
        <v>0</v>
      </c>
    </row>
    <row r="296" spans="1:24" s="1" customFormat="1" ht="11.25" customHeight="1">
      <c r="A296" s="201" t="s">
        <v>56</v>
      </c>
      <c r="B296" s="202"/>
      <c r="C296" s="202"/>
      <c r="D296" s="203"/>
      <c r="E296" s="180"/>
      <c r="F296" s="140">
        <v>90</v>
      </c>
      <c r="G296" s="138">
        <v>92</v>
      </c>
      <c r="H296" s="138">
        <v>383</v>
      </c>
      <c r="I296" s="138">
        <v>2720</v>
      </c>
      <c r="J296" s="140">
        <v>1.4</v>
      </c>
      <c r="K296" s="140">
        <v>1.6</v>
      </c>
      <c r="L296" s="139">
        <v>70</v>
      </c>
      <c r="M296" s="140">
        <v>0.9</v>
      </c>
      <c r="N296" s="139">
        <v>12</v>
      </c>
      <c r="O296" s="139">
        <v>1200</v>
      </c>
      <c r="P296" s="139">
        <v>1200</v>
      </c>
      <c r="Q296" s="139">
        <v>14</v>
      </c>
      <c r="R296" s="138">
        <v>0.1</v>
      </c>
      <c r="S296" s="139">
        <v>300</v>
      </c>
      <c r="T296" s="140">
        <v>18</v>
      </c>
      <c r="U296" s="77"/>
      <c r="V296" s="78"/>
      <c r="W296" s="78"/>
      <c r="X296" s="78"/>
    </row>
    <row r="297" spans="1:24" s="1" customFormat="1" ht="11.25" customHeight="1">
      <c r="A297" s="225" t="s">
        <v>55</v>
      </c>
      <c r="B297" s="226"/>
      <c r="C297" s="226"/>
      <c r="D297" s="227"/>
      <c r="E297" s="175"/>
      <c r="F297" s="51">
        <f aca="true" t="shared" si="81" ref="F297:T297">F295/F296</f>
        <v>0.5210833333333333</v>
      </c>
      <c r="G297" s="130">
        <f t="shared" si="81"/>
        <v>0.4568858695652174</v>
      </c>
      <c r="H297" s="130">
        <f t="shared" si="81"/>
        <v>0.5759660574412533</v>
      </c>
      <c r="I297" s="130">
        <f t="shared" si="81"/>
        <v>0.5324674632352943</v>
      </c>
      <c r="J297" s="130">
        <f t="shared" si="81"/>
        <v>0.4539285714285714</v>
      </c>
      <c r="K297" s="130">
        <f t="shared" si="81"/>
        <v>0.3759375</v>
      </c>
      <c r="L297" s="130">
        <f t="shared" si="81"/>
        <v>1.1126071428571427</v>
      </c>
      <c r="M297" s="33">
        <f>M295/M296</f>
        <v>1.2297222222222224</v>
      </c>
      <c r="N297" s="130">
        <f t="shared" si="81"/>
        <v>0.65325</v>
      </c>
      <c r="O297" s="130">
        <f t="shared" si="81"/>
        <v>0.48436125</v>
      </c>
      <c r="P297" s="130">
        <f t="shared" si="81"/>
        <v>0.5996662500000001</v>
      </c>
      <c r="Q297" s="130">
        <f t="shared" si="81"/>
        <v>0.45385714285714285</v>
      </c>
      <c r="R297" s="33">
        <f t="shared" si="81"/>
        <v>1.5179999999999998</v>
      </c>
      <c r="S297" s="130">
        <f t="shared" si="81"/>
        <v>0.58598</v>
      </c>
      <c r="T297" s="33">
        <f t="shared" si="81"/>
        <v>0.5984444444444443</v>
      </c>
      <c r="U297" s="34"/>
      <c r="V297" s="35"/>
      <c r="W297" s="35"/>
      <c r="X297" s="35"/>
    </row>
    <row r="298" spans="1:24" s="1" customFormat="1" ht="11.25" customHeight="1">
      <c r="A298" s="222" t="s">
        <v>40</v>
      </c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11"/>
      <c r="V298" s="23"/>
      <c r="W298" s="23"/>
      <c r="X298" s="23"/>
    </row>
    <row r="299" spans="1:24" s="1" customFormat="1" ht="11.25" customHeight="1">
      <c r="A299" s="43" t="s">
        <v>48</v>
      </c>
      <c r="B299" s="41"/>
      <c r="C299" s="41"/>
      <c r="D299" s="2"/>
      <c r="E299" s="2"/>
      <c r="F299" s="119"/>
      <c r="G299" s="196" t="s">
        <v>35</v>
      </c>
      <c r="H299" s="196"/>
      <c r="I299" s="196"/>
      <c r="J299" s="121"/>
      <c r="K299" s="121"/>
      <c r="L299" s="215" t="s">
        <v>1</v>
      </c>
      <c r="M299" s="215"/>
      <c r="N299" s="214" t="str">
        <f>N267</f>
        <v>весенне-летний</v>
      </c>
      <c r="O299" s="214"/>
      <c r="P299" s="214"/>
      <c r="Q299" s="214"/>
      <c r="R299" s="121"/>
      <c r="S299" s="121"/>
      <c r="T299" s="121"/>
      <c r="U299" s="12"/>
      <c r="V299" s="18"/>
      <c r="W299" s="18"/>
      <c r="X299" s="18"/>
    </row>
    <row r="300" spans="1:24" s="1" customFormat="1" ht="11.25" customHeight="1">
      <c r="A300" s="41"/>
      <c r="B300" s="41"/>
      <c r="C300" s="41"/>
      <c r="D300" s="215" t="s">
        <v>2</v>
      </c>
      <c r="E300" s="215"/>
      <c r="F300" s="215"/>
      <c r="G300" s="5">
        <v>2</v>
      </c>
      <c r="H300" s="121"/>
      <c r="I300" s="2"/>
      <c r="J300" s="2"/>
      <c r="K300" s="2"/>
      <c r="L300" s="215" t="s">
        <v>3</v>
      </c>
      <c r="M300" s="215"/>
      <c r="N300" s="196" t="str">
        <f>N268</f>
        <v>с 7-11 лет;12 и старше</v>
      </c>
      <c r="O300" s="196"/>
      <c r="P300" s="196"/>
      <c r="Q300" s="196"/>
      <c r="R300" s="196"/>
      <c r="S300" s="196"/>
      <c r="T300" s="196"/>
      <c r="U300" s="13"/>
      <c r="V300" s="19"/>
      <c r="W300" s="19"/>
      <c r="X300" s="19"/>
    </row>
    <row r="301" spans="1:24" s="1" customFormat="1" ht="21.75" customHeight="1">
      <c r="A301" s="216" t="s">
        <v>4</v>
      </c>
      <c r="B301" s="216" t="s">
        <v>5</v>
      </c>
      <c r="C301" s="216"/>
      <c r="D301" s="216" t="s">
        <v>6</v>
      </c>
      <c r="E301" s="178"/>
      <c r="F301" s="204" t="s">
        <v>7</v>
      </c>
      <c r="G301" s="205"/>
      <c r="H301" s="206"/>
      <c r="I301" s="216" t="s">
        <v>8</v>
      </c>
      <c r="J301" s="250" t="s">
        <v>9</v>
      </c>
      <c r="K301" s="250"/>
      <c r="L301" s="250"/>
      <c r="M301" s="250"/>
      <c r="N301" s="250"/>
      <c r="O301" s="250" t="s">
        <v>10</v>
      </c>
      <c r="P301" s="250"/>
      <c r="Q301" s="250"/>
      <c r="R301" s="250"/>
      <c r="S301" s="250"/>
      <c r="T301" s="250"/>
      <c r="U301" s="7"/>
      <c r="V301" s="20"/>
      <c r="W301" s="20"/>
      <c r="X301" s="20"/>
    </row>
    <row r="302" spans="1:24" s="1" customFormat="1" ht="21" customHeight="1">
      <c r="A302" s="217"/>
      <c r="B302" s="199"/>
      <c r="C302" s="200"/>
      <c r="D302" s="217"/>
      <c r="E302" s="177"/>
      <c r="F302" s="57" t="s">
        <v>11</v>
      </c>
      <c r="G302" s="182" t="s">
        <v>12</v>
      </c>
      <c r="H302" s="182" t="s">
        <v>13</v>
      </c>
      <c r="I302" s="217"/>
      <c r="J302" s="182" t="s">
        <v>14</v>
      </c>
      <c r="K302" s="182" t="s">
        <v>50</v>
      </c>
      <c r="L302" s="182" t="s">
        <v>15</v>
      </c>
      <c r="M302" s="182" t="s">
        <v>16</v>
      </c>
      <c r="N302" s="182" t="s">
        <v>17</v>
      </c>
      <c r="O302" s="182" t="s">
        <v>18</v>
      </c>
      <c r="P302" s="182" t="s">
        <v>19</v>
      </c>
      <c r="Q302" s="182" t="s">
        <v>51</v>
      </c>
      <c r="R302" s="182" t="s">
        <v>52</v>
      </c>
      <c r="S302" s="182" t="s">
        <v>20</v>
      </c>
      <c r="T302" s="182" t="s">
        <v>21</v>
      </c>
      <c r="U302" s="7"/>
      <c r="V302" s="20"/>
      <c r="W302" s="20"/>
      <c r="X302" s="20"/>
    </row>
    <row r="303" spans="1:24" s="1" customFormat="1" ht="11.25" customHeight="1">
      <c r="A303" s="183">
        <v>1</v>
      </c>
      <c r="B303" s="251">
        <v>2</v>
      </c>
      <c r="C303" s="251"/>
      <c r="D303" s="28">
        <v>3</v>
      </c>
      <c r="E303" s="28"/>
      <c r="F303" s="28">
        <v>4</v>
      </c>
      <c r="G303" s="28">
        <v>5</v>
      </c>
      <c r="H303" s="28">
        <v>6</v>
      </c>
      <c r="I303" s="28">
        <v>7</v>
      </c>
      <c r="J303" s="28">
        <v>8</v>
      </c>
      <c r="K303" s="28">
        <v>9</v>
      </c>
      <c r="L303" s="28">
        <v>10</v>
      </c>
      <c r="M303" s="28">
        <v>11</v>
      </c>
      <c r="N303" s="28">
        <v>12</v>
      </c>
      <c r="O303" s="28">
        <v>13</v>
      </c>
      <c r="P303" s="28">
        <v>14</v>
      </c>
      <c r="Q303" s="28">
        <v>15</v>
      </c>
      <c r="R303" s="28">
        <v>16</v>
      </c>
      <c r="S303" s="28">
        <v>17</v>
      </c>
      <c r="T303" s="28">
        <v>18</v>
      </c>
      <c r="U303" s="8"/>
      <c r="V303" s="21"/>
      <c r="W303" s="21"/>
      <c r="X303" s="21"/>
    </row>
    <row r="304" spans="1:24" s="1" customFormat="1" ht="11.25" customHeight="1">
      <c r="A304" s="245" t="s">
        <v>93</v>
      </c>
      <c r="B304" s="246"/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7"/>
      <c r="U304" s="9"/>
      <c r="V304" s="22"/>
      <c r="W304" s="22"/>
      <c r="X304" s="22"/>
    </row>
    <row r="305" spans="1:24" s="121" customFormat="1" ht="20.25" customHeight="1">
      <c r="A305" s="136">
        <v>71</v>
      </c>
      <c r="B305" s="208" t="s">
        <v>91</v>
      </c>
      <c r="C305" s="209"/>
      <c r="D305" s="145">
        <v>36</v>
      </c>
      <c r="E305" s="145">
        <v>9.97</v>
      </c>
      <c r="F305" s="173">
        <v>1.73</v>
      </c>
      <c r="G305" s="173">
        <v>3.71</v>
      </c>
      <c r="H305" s="173">
        <v>4.82</v>
      </c>
      <c r="I305" s="173">
        <v>59.58</v>
      </c>
      <c r="J305" s="146">
        <v>0.009</v>
      </c>
      <c r="K305" s="173">
        <v>0.01</v>
      </c>
      <c r="L305" s="147">
        <v>3</v>
      </c>
      <c r="M305" s="146">
        <v>0.003</v>
      </c>
      <c r="N305" s="145">
        <v>0.03</v>
      </c>
      <c r="O305" s="173">
        <v>6.9</v>
      </c>
      <c r="P305" s="173">
        <v>12.6</v>
      </c>
      <c r="Q305" s="146">
        <v>0.064</v>
      </c>
      <c r="R305" s="146">
        <v>0.001</v>
      </c>
      <c r="S305" s="173">
        <v>4.2</v>
      </c>
      <c r="T305" s="173">
        <v>0.18</v>
      </c>
      <c r="U305" s="124"/>
      <c r="V305" s="125"/>
      <c r="W305" s="125"/>
      <c r="X305" s="125"/>
    </row>
    <row r="306" spans="1:24" s="154" customFormat="1" ht="22.5" customHeight="1">
      <c r="A306" s="69">
        <v>591</v>
      </c>
      <c r="B306" s="232" t="s">
        <v>90</v>
      </c>
      <c r="C306" s="233"/>
      <c r="D306" s="70">
        <v>100</v>
      </c>
      <c r="E306" s="67">
        <v>47.99</v>
      </c>
      <c r="F306" s="67">
        <v>5.86</v>
      </c>
      <c r="G306" s="67">
        <v>16.31</v>
      </c>
      <c r="H306" s="67">
        <v>3.07</v>
      </c>
      <c r="I306" s="67">
        <v>182.51</v>
      </c>
      <c r="J306" s="67">
        <v>0.14</v>
      </c>
      <c r="K306" s="67">
        <v>0.05</v>
      </c>
      <c r="L306" s="67">
        <v>0.09</v>
      </c>
      <c r="M306" s="67">
        <v>0</v>
      </c>
      <c r="N306" s="67">
        <v>0</v>
      </c>
      <c r="O306" s="67">
        <v>9.54</v>
      </c>
      <c r="P306" s="67">
        <v>63.38</v>
      </c>
      <c r="Q306" s="67">
        <v>1.12</v>
      </c>
      <c r="R306" s="67">
        <v>2.55</v>
      </c>
      <c r="S306" s="67">
        <v>11.3</v>
      </c>
      <c r="T306" s="67">
        <v>0.75</v>
      </c>
      <c r="U306" s="152"/>
      <c r="V306" s="153"/>
      <c r="W306" s="153"/>
      <c r="X306" s="153"/>
    </row>
    <row r="307" spans="1:24" s="121" customFormat="1" ht="12" customHeight="1">
      <c r="A307" s="183">
        <v>171</v>
      </c>
      <c r="B307" s="208" t="s">
        <v>94</v>
      </c>
      <c r="C307" s="209"/>
      <c r="D307" s="139">
        <v>180</v>
      </c>
      <c r="E307" s="140">
        <v>8.71</v>
      </c>
      <c r="F307" s="140">
        <v>6.57</v>
      </c>
      <c r="G307" s="140">
        <v>4.19</v>
      </c>
      <c r="H307" s="140">
        <v>32.32</v>
      </c>
      <c r="I307" s="140">
        <v>193.27</v>
      </c>
      <c r="J307" s="140">
        <v>0.06</v>
      </c>
      <c r="K307" s="140">
        <v>0.03</v>
      </c>
      <c r="L307" s="140">
        <v>0</v>
      </c>
      <c r="M307" s="141">
        <v>0.03</v>
      </c>
      <c r="N307" s="140">
        <v>2.55</v>
      </c>
      <c r="O307" s="140">
        <v>18.12</v>
      </c>
      <c r="P307" s="140">
        <v>157.03</v>
      </c>
      <c r="Q307" s="140">
        <v>0.89</v>
      </c>
      <c r="R307" s="141">
        <v>0.001</v>
      </c>
      <c r="S307" s="140">
        <v>104.45</v>
      </c>
      <c r="T307" s="140">
        <v>3.55</v>
      </c>
      <c r="U307" s="142"/>
      <c r="V307" s="143"/>
      <c r="W307" s="143"/>
      <c r="X307" s="143"/>
    </row>
    <row r="308" spans="1:24" s="121" customFormat="1" ht="11.25" customHeight="1">
      <c r="A308" s="144" t="s">
        <v>58</v>
      </c>
      <c r="B308" s="208" t="s">
        <v>47</v>
      </c>
      <c r="C308" s="209"/>
      <c r="D308" s="139">
        <v>30</v>
      </c>
      <c r="E308" s="140">
        <v>2.52</v>
      </c>
      <c r="F308" s="140">
        <f>1.52*D308/30</f>
        <v>1.52</v>
      </c>
      <c r="G308" s="141">
        <f>0.16*D308/30</f>
        <v>0.16</v>
      </c>
      <c r="H308" s="141">
        <f>9.84*D308/30</f>
        <v>9.84</v>
      </c>
      <c r="I308" s="141">
        <f>F308*4+G308*9+H308*4</f>
        <v>46.879999999999995</v>
      </c>
      <c r="J308" s="141">
        <f>0.02*D308/30</f>
        <v>0.02</v>
      </c>
      <c r="K308" s="141">
        <f>0.01*D308/30</f>
        <v>0.01</v>
      </c>
      <c r="L308" s="141">
        <f>0.44*D308/30</f>
        <v>0.44</v>
      </c>
      <c r="M308" s="141">
        <v>0</v>
      </c>
      <c r="N308" s="141">
        <f>0.7*D308/30</f>
        <v>0.7</v>
      </c>
      <c r="O308" s="141">
        <f>4*D308/30</f>
        <v>4</v>
      </c>
      <c r="P308" s="141">
        <f>13*D308/30</f>
        <v>13</v>
      </c>
      <c r="Q308" s="141">
        <f>0.008*D308/30</f>
        <v>0.008</v>
      </c>
      <c r="R308" s="141">
        <f>0.001*D308/30</f>
        <v>0.001</v>
      </c>
      <c r="S308" s="141">
        <v>0</v>
      </c>
      <c r="T308" s="141">
        <f>0.22*D308/30</f>
        <v>0.22</v>
      </c>
      <c r="U308" s="142"/>
      <c r="V308" s="143"/>
      <c r="W308" s="143"/>
      <c r="X308" s="143"/>
    </row>
    <row r="309" spans="1:24" s="121" customFormat="1" ht="12.75" customHeight="1">
      <c r="A309" s="183">
        <v>377</v>
      </c>
      <c r="B309" s="212" t="s">
        <v>41</v>
      </c>
      <c r="C309" s="212"/>
      <c r="D309" s="139">
        <v>200</v>
      </c>
      <c r="E309" s="140">
        <v>3.81</v>
      </c>
      <c r="F309" s="140">
        <v>0.26</v>
      </c>
      <c r="G309" s="140">
        <v>0.06</v>
      </c>
      <c r="H309" s="140">
        <v>15.22</v>
      </c>
      <c r="I309" s="140">
        <f>F309*4+G309*9+H309*4</f>
        <v>62.46</v>
      </c>
      <c r="J309" s="140"/>
      <c r="K309" s="140">
        <v>0.01</v>
      </c>
      <c r="L309" s="140">
        <v>2.9</v>
      </c>
      <c r="M309" s="137">
        <v>0</v>
      </c>
      <c r="N309" s="140">
        <v>0.06</v>
      </c>
      <c r="O309" s="140">
        <v>8.05</v>
      </c>
      <c r="P309" s="140">
        <v>9.78</v>
      </c>
      <c r="Q309" s="140">
        <v>0.017</v>
      </c>
      <c r="R309" s="141">
        <v>0</v>
      </c>
      <c r="S309" s="140">
        <v>5.24</v>
      </c>
      <c r="T309" s="140">
        <v>0.87</v>
      </c>
      <c r="U309" s="142"/>
      <c r="V309" s="143"/>
      <c r="W309" s="143"/>
      <c r="X309" s="143"/>
    </row>
    <row r="310" spans="1:24" s="121" customFormat="1" ht="12.75" customHeight="1">
      <c r="A310" s="69" t="s">
        <v>58</v>
      </c>
      <c r="B310" s="193" t="s">
        <v>86</v>
      </c>
      <c r="C310" s="193"/>
      <c r="D310" s="70">
        <v>200</v>
      </c>
      <c r="E310" s="86"/>
      <c r="F310" s="165">
        <v>5.6</v>
      </c>
      <c r="G310" s="165">
        <v>6.4</v>
      </c>
      <c r="H310" s="165">
        <v>9.4</v>
      </c>
      <c r="I310" s="165">
        <v>117.6</v>
      </c>
      <c r="J310" s="165">
        <v>0.08</v>
      </c>
      <c r="K310" s="165">
        <v>0.307</v>
      </c>
      <c r="L310" s="165">
        <v>2.6</v>
      </c>
      <c r="M310" s="165">
        <v>0.067</v>
      </c>
      <c r="N310" s="165">
        <v>0.292</v>
      </c>
      <c r="O310" s="165">
        <v>240</v>
      </c>
      <c r="P310" s="165">
        <v>180</v>
      </c>
      <c r="Q310" s="165">
        <v>0.8</v>
      </c>
      <c r="R310" s="165">
        <v>0.018</v>
      </c>
      <c r="S310" s="165">
        <v>28</v>
      </c>
      <c r="T310" s="165">
        <v>0.12</v>
      </c>
      <c r="U310" s="142"/>
      <c r="V310" s="143"/>
      <c r="W310" s="143"/>
      <c r="X310" s="143"/>
    </row>
    <row r="311" spans="1:24" s="121" customFormat="1" ht="11.25" customHeight="1">
      <c r="A311" s="133" t="s">
        <v>95</v>
      </c>
      <c r="B311" s="134"/>
      <c r="C311" s="134"/>
      <c r="D311" s="135">
        <f aca="true" t="shared" si="82" ref="D311:T311">SUM(D305:D309)</f>
        <v>546</v>
      </c>
      <c r="E311" s="150">
        <f t="shared" si="82"/>
        <v>73</v>
      </c>
      <c r="F311" s="127">
        <f t="shared" si="82"/>
        <v>15.94</v>
      </c>
      <c r="G311" s="132">
        <f t="shared" si="82"/>
        <v>24.43</v>
      </c>
      <c r="H311" s="132">
        <f t="shared" si="82"/>
        <v>65.27</v>
      </c>
      <c r="I311" s="126">
        <f t="shared" si="82"/>
        <v>544.7</v>
      </c>
      <c r="J311" s="127">
        <f t="shared" si="82"/>
        <v>0.229</v>
      </c>
      <c r="K311" s="127">
        <f t="shared" si="82"/>
        <v>0.10999999999999999</v>
      </c>
      <c r="L311" s="127">
        <f t="shared" si="82"/>
        <v>6.43</v>
      </c>
      <c r="M311" s="127">
        <f t="shared" si="82"/>
        <v>0.033</v>
      </c>
      <c r="N311" s="126">
        <f t="shared" si="82"/>
        <v>3.3399999999999994</v>
      </c>
      <c r="O311" s="126">
        <f t="shared" si="82"/>
        <v>46.61</v>
      </c>
      <c r="P311" s="126">
        <f t="shared" si="82"/>
        <v>255.79</v>
      </c>
      <c r="Q311" s="126">
        <f t="shared" si="82"/>
        <v>2.099</v>
      </c>
      <c r="R311" s="127">
        <f t="shared" si="82"/>
        <v>2.5529999999999995</v>
      </c>
      <c r="S311" s="126">
        <f t="shared" si="82"/>
        <v>125.19</v>
      </c>
      <c r="T311" s="127">
        <f t="shared" si="82"/>
        <v>5.569999999999999</v>
      </c>
      <c r="U311" s="126"/>
      <c r="V311" s="129"/>
      <c r="W311" s="129"/>
      <c r="X311" s="129"/>
    </row>
    <row r="312" spans="1:24" s="3" customFormat="1" ht="11.25" customHeight="1">
      <c r="A312" s="225" t="s">
        <v>55</v>
      </c>
      <c r="B312" s="226"/>
      <c r="C312" s="226"/>
      <c r="D312" s="227"/>
      <c r="E312" s="174"/>
      <c r="F312" s="148">
        <f aca="true" t="shared" si="83" ref="F312:T312">F311/F329</f>
        <v>0.1771111111111111</v>
      </c>
      <c r="G312" s="130">
        <f t="shared" si="83"/>
        <v>0.26554347826086955</v>
      </c>
      <c r="H312" s="130">
        <f t="shared" si="83"/>
        <v>0.1704177545691906</v>
      </c>
      <c r="I312" s="130">
        <f t="shared" si="83"/>
        <v>0.2002573529411765</v>
      </c>
      <c r="J312" s="130">
        <f t="shared" si="83"/>
        <v>0.1635714285714286</v>
      </c>
      <c r="K312" s="130">
        <f t="shared" si="83"/>
        <v>0.06874999999999999</v>
      </c>
      <c r="L312" s="130">
        <f t="shared" si="83"/>
        <v>0.09185714285714286</v>
      </c>
      <c r="M312" s="130">
        <f t="shared" si="83"/>
        <v>0.03666666666666667</v>
      </c>
      <c r="N312" s="130">
        <f t="shared" si="83"/>
        <v>0.27833333333333327</v>
      </c>
      <c r="O312" s="130">
        <f t="shared" si="83"/>
        <v>0.03884166666666666</v>
      </c>
      <c r="P312" s="130">
        <f t="shared" si="83"/>
        <v>0.21315833333333334</v>
      </c>
      <c r="Q312" s="130">
        <f t="shared" si="83"/>
        <v>0.14992857142857144</v>
      </c>
      <c r="R312" s="130">
        <f t="shared" si="83"/>
        <v>25.529999999999994</v>
      </c>
      <c r="S312" s="130">
        <f t="shared" si="83"/>
        <v>0.4173</v>
      </c>
      <c r="T312" s="130">
        <f t="shared" si="83"/>
        <v>0.3094444444444444</v>
      </c>
      <c r="U312" s="36"/>
      <c r="V312" s="30"/>
      <c r="W312" s="30"/>
      <c r="X312" s="30"/>
    </row>
    <row r="313" spans="1:24" s="3" customFormat="1" ht="11.25" customHeight="1">
      <c r="A313" s="245" t="s">
        <v>24</v>
      </c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7"/>
      <c r="U313" s="9"/>
      <c r="V313" s="22"/>
      <c r="W313" s="22"/>
      <c r="X313" s="22"/>
    </row>
    <row r="314" spans="1:24" s="107" customFormat="1" ht="20.25" customHeight="1">
      <c r="A314" s="136">
        <v>24</v>
      </c>
      <c r="B314" s="208" t="s">
        <v>100</v>
      </c>
      <c r="C314" s="209"/>
      <c r="D314" s="145">
        <v>100</v>
      </c>
      <c r="E314" s="145">
        <v>19.72</v>
      </c>
      <c r="F314" s="173">
        <v>0.5</v>
      </c>
      <c r="G314" s="173">
        <v>3.33</v>
      </c>
      <c r="H314" s="173">
        <v>2.66</v>
      </c>
      <c r="I314" s="173">
        <v>42.66</v>
      </c>
      <c r="J314" s="146">
        <v>0.1</v>
      </c>
      <c r="K314" s="173">
        <v>0.67</v>
      </c>
      <c r="L314" s="173">
        <v>20.66</v>
      </c>
      <c r="M314" s="146">
        <v>0.002</v>
      </c>
      <c r="N314" s="145">
        <v>2.5</v>
      </c>
      <c r="O314" s="173">
        <v>47</v>
      </c>
      <c r="P314" s="173">
        <v>53.83</v>
      </c>
      <c r="Q314" s="146">
        <v>0.5</v>
      </c>
      <c r="R314" s="146">
        <v>0.003</v>
      </c>
      <c r="S314" s="173">
        <v>31</v>
      </c>
      <c r="T314" s="173">
        <v>0.83</v>
      </c>
      <c r="U314" s="108"/>
      <c r="V314" s="109"/>
      <c r="W314" s="109"/>
      <c r="X314" s="109"/>
    </row>
    <row r="315" spans="1:25" s="73" customFormat="1" ht="22.5" customHeight="1">
      <c r="A315" s="69">
        <v>103</v>
      </c>
      <c r="B315" s="213" t="s">
        <v>72</v>
      </c>
      <c r="C315" s="213"/>
      <c r="D315" s="70">
        <v>250</v>
      </c>
      <c r="E315" s="67">
        <v>9.95</v>
      </c>
      <c r="F315" s="67">
        <v>12.37</v>
      </c>
      <c r="G315" s="67">
        <v>11.12</v>
      </c>
      <c r="H315" s="67">
        <v>31.5</v>
      </c>
      <c r="I315" s="67">
        <v>275.62</v>
      </c>
      <c r="J315" s="67">
        <v>0.25</v>
      </c>
      <c r="K315" s="67">
        <v>0.063</v>
      </c>
      <c r="L315" s="67">
        <v>8.25</v>
      </c>
      <c r="M315" s="67">
        <v>0</v>
      </c>
      <c r="N315" s="67">
        <v>0</v>
      </c>
      <c r="O315" s="67">
        <v>49.37</v>
      </c>
      <c r="P315" s="67">
        <v>93.37</v>
      </c>
      <c r="Q315" s="67">
        <v>0</v>
      </c>
      <c r="R315" s="67">
        <v>0.001</v>
      </c>
      <c r="S315" s="67">
        <v>27.25</v>
      </c>
      <c r="T315" s="67">
        <v>0.37</v>
      </c>
      <c r="U315" s="110"/>
      <c r="V315" s="111"/>
      <c r="W315" s="111"/>
      <c r="X315" s="111"/>
      <c r="Y315" s="106"/>
    </row>
    <row r="316" spans="1:24" s="154" customFormat="1" ht="22.5" customHeight="1">
      <c r="A316" s="144">
        <v>232</v>
      </c>
      <c r="B316" s="208" t="s">
        <v>87</v>
      </c>
      <c r="C316" s="209"/>
      <c r="D316" s="139">
        <v>100</v>
      </c>
      <c r="E316" s="140">
        <v>34.82</v>
      </c>
      <c r="F316" s="140">
        <v>20.2</v>
      </c>
      <c r="G316" s="140">
        <v>12.07</v>
      </c>
      <c r="H316" s="140">
        <v>2.08</v>
      </c>
      <c r="I316" s="140">
        <v>197.75</v>
      </c>
      <c r="J316" s="140">
        <v>0.2</v>
      </c>
      <c r="K316" s="140">
        <v>0.17</v>
      </c>
      <c r="L316" s="140">
        <v>2.63</v>
      </c>
      <c r="M316" s="141">
        <v>0.03125</v>
      </c>
      <c r="N316" s="140">
        <v>0.3</v>
      </c>
      <c r="O316" s="140">
        <v>86.1125</v>
      </c>
      <c r="P316" s="140">
        <v>41.762499999999996</v>
      </c>
      <c r="Q316" s="138">
        <v>0.8</v>
      </c>
      <c r="R316" s="138">
        <v>0.04</v>
      </c>
      <c r="S316" s="140">
        <v>28.9625</v>
      </c>
      <c r="T316" s="140">
        <v>0.9125</v>
      </c>
      <c r="U316" s="152"/>
      <c r="V316" s="153"/>
      <c r="W316" s="153"/>
      <c r="X316" s="153"/>
    </row>
    <row r="317" spans="1:24" s="154" customFormat="1" ht="19.5" customHeight="1">
      <c r="A317" s="144">
        <v>312</v>
      </c>
      <c r="B317" s="208" t="s">
        <v>43</v>
      </c>
      <c r="C317" s="209"/>
      <c r="D317" s="139">
        <v>180</v>
      </c>
      <c r="E317" s="140">
        <v>19.71</v>
      </c>
      <c r="F317" s="140">
        <v>3.9480000000000004</v>
      </c>
      <c r="G317" s="140">
        <v>8.472</v>
      </c>
      <c r="H317" s="140">
        <v>26.652</v>
      </c>
      <c r="I317" s="140">
        <v>198.648</v>
      </c>
      <c r="J317" s="140">
        <v>0.192</v>
      </c>
      <c r="K317" s="140">
        <v>0.15600000000000003</v>
      </c>
      <c r="L317" s="140">
        <v>0.876</v>
      </c>
      <c r="M317" s="141">
        <v>0.096</v>
      </c>
      <c r="N317" s="137">
        <v>1.8</v>
      </c>
      <c r="O317" s="140">
        <v>51.048</v>
      </c>
      <c r="P317" s="138">
        <v>117.3</v>
      </c>
      <c r="Q317" s="141">
        <v>0.3588</v>
      </c>
      <c r="R317" s="141">
        <v>0.0012</v>
      </c>
      <c r="S317" s="140">
        <v>39.672000000000004</v>
      </c>
      <c r="T317" s="140">
        <v>1.428</v>
      </c>
      <c r="U317" s="152"/>
      <c r="V317" s="153"/>
      <c r="W317" s="153"/>
      <c r="X317" s="153"/>
    </row>
    <row r="318" spans="1:20" s="158" customFormat="1" ht="11.25">
      <c r="A318" s="90">
        <v>699</v>
      </c>
      <c r="B318" s="248" t="s">
        <v>88</v>
      </c>
      <c r="C318" s="249"/>
      <c r="D318" s="80">
        <v>200</v>
      </c>
      <c r="E318" s="81">
        <v>5.2</v>
      </c>
      <c r="F318" s="81">
        <v>0.1</v>
      </c>
      <c r="G318" s="82">
        <v>0</v>
      </c>
      <c r="H318" s="83">
        <v>15.7</v>
      </c>
      <c r="I318" s="81">
        <v>63.2</v>
      </c>
      <c r="J318" s="82">
        <v>0.018</v>
      </c>
      <c r="K318" s="82">
        <v>0.012</v>
      </c>
      <c r="L318" s="83">
        <v>8</v>
      </c>
      <c r="M318" s="82">
        <v>0</v>
      </c>
      <c r="N318" s="81">
        <v>0.2</v>
      </c>
      <c r="O318" s="81">
        <v>10.8</v>
      </c>
      <c r="P318" s="81">
        <v>1.7</v>
      </c>
      <c r="Q318" s="81">
        <v>0</v>
      </c>
      <c r="R318" s="84">
        <v>0</v>
      </c>
      <c r="S318" s="81">
        <v>5.8</v>
      </c>
      <c r="T318" s="81">
        <v>1.6</v>
      </c>
    </row>
    <row r="319" spans="1:24" s="154" customFormat="1" ht="11.25" customHeight="1">
      <c r="A319" s="52" t="s">
        <v>58</v>
      </c>
      <c r="B319" s="208" t="s">
        <v>42</v>
      </c>
      <c r="C319" s="209"/>
      <c r="D319" s="139">
        <v>40</v>
      </c>
      <c r="E319" s="140">
        <v>2.08</v>
      </c>
      <c r="F319" s="140">
        <f>2.64*D319/40</f>
        <v>2.64</v>
      </c>
      <c r="G319" s="140">
        <f>0.48*D319/40</f>
        <v>0.48</v>
      </c>
      <c r="H319" s="140">
        <f>13.68*D319/40</f>
        <v>13.680000000000001</v>
      </c>
      <c r="I319" s="138">
        <f>F319*4+G319*9+H319*4</f>
        <v>69.60000000000001</v>
      </c>
      <c r="J319" s="137">
        <f>0.08*D319/40</f>
        <v>0.08</v>
      </c>
      <c r="K319" s="140">
        <f>0.04*D319/40</f>
        <v>0.04</v>
      </c>
      <c r="L319" s="139">
        <v>0</v>
      </c>
      <c r="M319" s="139">
        <v>0</v>
      </c>
      <c r="N319" s="140">
        <f>2.4*D319/40</f>
        <v>2.4</v>
      </c>
      <c r="O319" s="140">
        <f>14*D319/40</f>
        <v>14</v>
      </c>
      <c r="P319" s="140">
        <f>63.2*D319/40</f>
        <v>63.2</v>
      </c>
      <c r="Q319" s="140">
        <f>1.2*D319/40</f>
        <v>1.2</v>
      </c>
      <c r="R319" s="141">
        <f>0.001*D319/40</f>
        <v>0.001</v>
      </c>
      <c r="S319" s="140">
        <f>9.4*D319/40</f>
        <v>9.4</v>
      </c>
      <c r="T319" s="137">
        <f>0.78*D319/40</f>
        <v>0.78</v>
      </c>
      <c r="U319" s="160"/>
      <c r="V319" s="161"/>
      <c r="W319" s="161"/>
      <c r="X319" s="161"/>
    </row>
    <row r="320" spans="1:24" s="3" customFormat="1" ht="11.25" customHeight="1">
      <c r="A320" s="144" t="s">
        <v>58</v>
      </c>
      <c r="B320" s="208" t="s">
        <v>47</v>
      </c>
      <c r="C320" s="209"/>
      <c r="D320" s="139">
        <v>30</v>
      </c>
      <c r="E320" s="140">
        <v>2.52</v>
      </c>
      <c r="F320" s="140">
        <f>1.52*D320/30</f>
        <v>1.52</v>
      </c>
      <c r="G320" s="141">
        <f>0.16*D320/30</f>
        <v>0.16</v>
      </c>
      <c r="H320" s="141">
        <f>9.84*D320/30</f>
        <v>9.84</v>
      </c>
      <c r="I320" s="141">
        <f>F320*4+G320*9+H320*4</f>
        <v>46.879999999999995</v>
      </c>
      <c r="J320" s="141">
        <f>0.02*D320/30</f>
        <v>0.02</v>
      </c>
      <c r="K320" s="141">
        <f>0.01*D320/30</f>
        <v>0.01</v>
      </c>
      <c r="L320" s="141">
        <f>0.44*D320/30</f>
        <v>0.44</v>
      </c>
      <c r="M320" s="141">
        <v>0</v>
      </c>
      <c r="N320" s="141">
        <f>0.7*D320/30</f>
        <v>0.7</v>
      </c>
      <c r="O320" s="141">
        <f>4*D320/30</f>
        <v>4</v>
      </c>
      <c r="P320" s="141">
        <f>13*D320/30</f>
        <v>13</v>
      </c>
      <c r="Q320" s="141">
        <f>0.008*D320/30</f>
        <v>0.008</v>
      </c>
      <c r="R320" s="141">
        <f>0.001*D320/30</f>
        <v>0.001</v>
      </c>
      <c r="S320" s="141">
        <v>0</v>
      </c>
      <c r="T320" s="141">
        <f>0.22*D320/30</f>
        <v>0.22</v>
      </c>
      <c r="U320" s="49"/>
      <c r="V320" s="50"/>
      <c r="W320" s="50"/>
      <c r="X320" s="50"/>
    </row>
    <row r="321" spans="1:24" s="3" customFormat="1" ht="11.25" customHeight="1">
      <c r="A321" s="133" t="s">
        <v>25</v>
      </c>
      <c r="B321" s="134"/>
      <c r="C321" s="134"/>
      <c r="D321" s="135">
        <f aca="true" t="shared" si="84" ref="D321:I321">SUM(D314:D320)</f>
        <v>900</v>
      </c>
      <c r="E321" s="150">
        <f t="shared" si="84"/>
        <v>93.99999999999999</v>
      </c>
      <c r="F321" s="127">
        <f t="shared" si="84"/>
        <v>41.278000000000006</v>
      </c>
      <c r="G321" s="126">
        <f t="shared" si="84"/>
        <v>35.63199999999999</v>
      </c>
      <c r="H321" s="126">
        <f t="shared" si="84"/>
        <v>102.11200000000001</v>
      </c>
      <c r="I321" s="126">
        <f t="shared" si="84"/>
        <v>894.3580000000001</v>
      </c>
      <c r="J321" s="126">
        <f aca="true" t="shared" si="85" ref="J321:T321">SUM(J314:J320)</f>
        <v>0.86</v>
      </c>
      <c r="K321" s="127">
        <f t="shared" si="85"/>
        <v>1.1210000000000002</v>
      </c>
      <c r="L321" s="126">
        <f t="shared" si="85"/>
        <v>40.855999999999995</v>
      </c>
      <c r="M321" s="126">
        <f t="shared" si="85"/>
        <v>0.12925</v>
      </c>
      <c r="N321" s="32">
        <f t="shared" si="85"/>
        <v>7.8999999999999995</v>
      </c>
      <c r="O321" s="126">
        <f t="shared" si="85"/>
        <v>262.33050000000003</v>
      </c>
      <c r="P321" s="126">
        <f t="shared" si="85"/>
        <v>384.16249999999997</v>
      </c>
      <c r="Q321" s="126">
        <f t="shared" si="85"/>
        <v>2.8668</v>
      </c>
      <c r="R321" s="128">
        <f t="shared" si="85"/>
        <v>0.0472</v>
      </c>
      <c r="S321" s="126">
        <f t="shared" si="85"/>
        <v>142.08450000000002</v>
      </c>
      <c r="T321" s="127">
        <f t="shared" si="85"/>
        <v>6.140499999999999</v>
      </c>
      <c r="U321" s="29"/>
      <c r="V321" s="30"/>
      <c r="W321" s="30"/>
      <c r="X321" s="30"/>
    </row>
    <row r="322" spans="1:24" s="3" customFormat="1" ht="11.25" customHeight="1">
      <c r="A322" s="225" t="s">
        <v>55</v>
      </c>
      <c r="B322" s="226"/>
      <c r="C322" s="226"/>
      <c r="D322" s="227"/>
      <c r="E322" s="175"/>
      <c r="F322" s="51">
        <f aca="true" t="shared" si="86" ref="F322:T322">F321/F329</f>
        <v>0.4586444444444445</v>
      </c>
      <c r="G322" s="130">
        <f t="shared" si="86"/>
        <v>0.38730434782608686</v>
      </c>
      <c r="H322" s="130">
        <f t="shared" si="86"/>
        <v>0.2666109660574413</v>
      </c>
      <c r="I322" s="130">
        <f t="shared" si="86"/>
        <v>0.3288080882352941</v>
      </c>
      <c r="J322" s="130">
        <f t="shared" si="86"/>
        <v>0.6142857142857143</v>
      </c>
      <c r="K322" s="130">
        <f t="shared" si="86"/>
        <v>0.700625</v>
      </c>
      <c r="L322" s="130">
        <f t="shared" si="86"/>
        <v>0.5836571428571428</v>
      </c>
      <c r="M322" s="130">
        <f t="shared" si="86"/>
        <v>0.1436111111111111</v>
      </c>
      <c r="N322" s="130">
        <f t="shared" si="86"/>
        <v>0.6583333333333333</v>
      </c>
      <c r="O322" s="130">
        <f t="shared" si="86"/>
        <v>0.21860875000000002</v>
      </c>
      <c r="P322" s="130">
        <f t="shared" si="86"/>
        <v>0.3201354166666666</v>
      </c>
      <c r="Q322" s="130">
        <f t="shared" si="86"/>
        <v>0.20477142857142858</v>
      </c>
      <c r="R322" s="130">
        <f t="shared" si="86"/>
        <v>0.472</v>
      </c>
      <c r="S322" s="130">
        <f t="shared" si="86"/>
        <v>0.47361500000000006</v>
      </c>
      <c r="T322" s="130">
        <f t="shared" si="86"/>
        <v>0.3411388888888889</v>
      </c>
      <c r="U322" s="36"/>
      <c r="V322" s="30"/>
      <c r="W322" s="30"/>
      <c r="X322" s="30"/>
    </row>
    <row r="323" spans="1:24" s="3" customFormat="1" ht="11.25" customHeight="1">
      <c r="A323" s="245" t="s">
        <v>26</v>
      </c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7"/>
      <c r="U323" s="9"/>
      <c r="V323" s="22"/>
      <c r="W323" s="22"/>
      <c r="X323" s="22"/>
    </row>
    <row r="324" spans="1:20" s="68" customFormat="1" ht="11.25" customHeight="1">
      <c r="A324" s="171"/>
      <c r="B324" s="223"/>
      <c r="C324" s="223"/>
      <c r="D324" s="168"/>
      <c r="E324" s="164"/>
      <c r="F324" s="164"/>
      <c r="G324" s="164"/>
      <c r="H324" s="164"/>
      <c r="I324" s="164"/>
      <c r="J324" s="164"/>
      <c r="K324" s="164"/>
      <c r="L324" s="163"/>
      <c r="M324" s="163"/>
      <c r="N324" s="164"/>
      <c r="O324" s="164"/>
      <c r="P324" s="164"/>
      <c r="Q324" s="163"/>
      <c r="R324" s="163"/>
      <c r="S324" s="164"/>
      <c r="T324" s="164"/>
    </row>
    <row r="325" spans="1:20" s="68" customFormat="1" ht="11.25" customHeight="1">
      <c r="A325" s="87"/>
      <c r="B325" s="213"/>
      <c r="C325" s="213"/>
      <c r="D325" s="71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</row>
    <row r="326" spans="1:24" s="1" customFormat="1" ht="11.25" customHeight="1">
      <c r="A326" s="133" t="s">
        <v>27</v>
      </c>
      <c r="B326" s="134"/>
      <c r="C326" s="134"/>
      <c r="D326" s="135">
        <f aca="true" t="shared" si="87" ref="D326:I326">SUM(D324:D325)</f>
        <v>0</v>
      </c>
      <c r="E326" s="135">
        <f t="shared" si="87"/>
        <v>0</v>
      </c>
      <c r="F326" s="127">
        <f t="shared" si="87"/>
        <v>0</v>
      </c>
      <c r="G326" s="126">
        <f t="shared" si="87"/>
        <v>0</v>
      </c>
      <c r="H326" s="126">
        <f t="shared" si="87"/>
        <v>0</v>
      </c>
      <c r="I326" s="126">
        <f t="shared" si="87"/>
        <v>0</v>
      </c>
      <c r="J326" s="126">
        <f aca="true" t="shared" si="88" ref="J326:T326">SUM(J324:J325)</f>
        <v>0</v>
      </c>
      <c r="K326" s="126">
        <f t="shared" si="88"/>
        <v>0</v>
      </c>
      <c r="L326" s="126">
        <f t="shared" si="88"/>
        <v>0</v>
      </c>
      <c r="M326" s="127">
        <f t="shared" si="88"/>
        <v>0</v>
      </c>
      <c r="N326" s="127">
        <f t="shared" si="88"/>
        <v>0</v>
      </c>
      <c r="O326" s="126">
        <f t="shared" si="88"/>
        <v>0</v>
      </c>
      <c r="P326" s="126">
        <f t="shared" si="88"/>
        <v>0</v>
      </c>
      <c r="Q326" s="126">
        <f t="shared" si="88"/>
        <v>0</v>
      </c>
      <c r="R326" s="128">
        <f t="shared" si="88"/>
        <v>0</v>
      </c>
      <c r="S326" s="126">
        <f t="shared" si="88"/>
        <v>0</v>
      </c>
      <c r="T326" s="127">
        <f t="shared" si="88"/>
        <v>0</v>
      </c>
      <c r="U326" s="29"/>
      <c r="V326" s="30"/>
      <c r="W326" s="30"/>
      <c r="X326" s="30"/>
    </row>
    <row r="327" spans="1:24" s="1" customFormat="1" ht="11.25" customHeight="1">
      <c r="A327" s="225" t="s">
        <v>55</v>
      </c>
      <c r="B327" s="226"/>
      <c r="C327" s="226"/>
      <c r="D327" s="227"/>
      <c r="E327" s="175"/>
      <c r="F327" s="51">
        <f>F326/F329</f>
        <v>0</v>
      </c>
      <c r="G327" s="130">
        <f aca="true" t="shared" si="89" ref="G327:T327">G326/G329</f>
        <v>0</v>
      </c>
      <c r="H327" s="130">
        <f t="shared" si="89"/>
        <v>0</v>
      </c>
      <c r="I327" s="130">
        <f t="shared" si="89"/>
        <v>0</v>
      </c>
      <c r="J327" s="130">
        <f t="shared" si="89"/>
        <v>0</v>
      </c>
      <c r="K327" s="130">
        <f t="shared" si="89"/>
        <v>0</v>
      </c>
      <c r="L327" s="130">
        <f t="shared" si="89"/>
        <v>0</v>
      </c>
      <c r="M327" s="130">
        <f t="shared" si="89"/>
        <v>0</v>
      </c>
      <c r="N327" s="130">
        <f t="shared" si="89"/>
        <v>0</v>
      </c>
      <c r="O327" s="130">
        <f t="shared" si="89"/>
        <v>0</v>
      </c>
      <c r="P327" s="130">
        <f t="shared" si="89"/>
        <v>0</v>
      </c>
      <c r="Q327" s="130">
        <f t="shared" si="89"/>
        <v>0</v>
      </c>
      <c r="R327" s="130">
        <f t="shared" si="89"/>
        <v>0</v>
      </c>
      <c r="S327" s="130">
        <f t="shared" si="89"/>
        <v>0</v>
      </c>
      <c r="T327" s="130">
        <f t="shared" si="89"/>
        <v>0</v>
      </c>
      <c r="U327" s="36"/>
      <c r="V327" s="30"/>
      <c r="W327" s="30"/>
      <c r="X327" s="30"/>
    </row>
    <row r="328" spans="1:24" s="1" customFormat="1" ht="11.25" customHeight="1">
      <c r="A328" s="133" t="s">
        <v>54</v>
      </c>
      <c r="B328" s="134"/>
      <c r="C328" s="134"/>
      <c r="D328" s="61">
        <f>D321+D311</f>
        <v>1446</v>
      </c>
      <c r="E328" s="151">
        <f>E321+E311</f>
        <v>167</v>
      </c>
      <c r="F328" s="127">
        <f aca="true" t="shared" si="90" ref="F328:T328">SUM(F311,F321,F326)</f>
        <v>57.218</v>
      </c>
      <c r="G328" s="126">
        <f t="shared" si="90"/>
        <v>60.06199999999999</v>
      </c>
      <c r="H328" s="126">
        <f t="shared" si="90"/>
        <v>167.382</v>
      </c>
      <c r="I328" s="126">
        <f t="shared" si="90"/>
        <v>1439.058</v>
      </c>
      <c r="J328" s="127">
        <f t="shared" si="90"/>
        <v>1.089</v>
      </c>
      <c r="K328" s="127">
        <f t="shared" si="90"/>
        <v>1.2310000000000003</v>
      </c>
      <c r="L328" s="126">
        <f t="shared" si="90"/>
        <v>47.285999999999994</v>
      </c>
      <c r="M328" s="127">
        <f t="shared" si="90"/>
        <v>0.16225</v>
      </c>
      <c r="N328" s="127">
        <f t="shared" si="90"/>
        <v>11.239999999999998</v>
      </c>
      <c r="O328" s="126">
        <f t="shared" si="90"/>
        <v>308.94050000000004</v>
      </c>
      <c r="P328" s="126">
        <f t="shared" si="90"/>
        <v>639.9525</v>
      </c>
      <c r="Q328" s="127">
        <f t="shared" si="90"/>
        <v>4.9658</v>
      </c>
      <c r="R328" s="128">
        <f t="shared" si="90"/>
        <v>2.6001999999999996</v>
      </c>
      <c r="S328" s="127">
        <f t="shared" si="90"/>
        <v>267.2745</v>
      </c>
      <c r="T328" s="127">
        <f t="shared" si="90"/>
        <v>11.7105</v>
      </c>
      <c r="U328" s="31"/>
      <c r="V328" s="30"/>
      <c r="W328" s="30"/>
      <c r="X328" s="30"/>
    </row>
    <row r="329" spans="1:24" s="1" customFormat="1" ht="11.25" customHeight="1">
      <c r="A329" s="201" t="s">
        <v>56</v>
      </c>
      <c r="B329" s="202"/>
      <c r="C329" s="202"/>
      <c r="D329" s="203"/>
      <c r="E329" s="180"/>
      <c r="F329" s="140">
        <v>90</v>
      </c>
      <c r="G329" s="138">
        <v>92</v>
      </c>
      <c r="H329" s="138">
        <v>383</v>
      </c>
      <c r="I329" s="138">
        <v>2720</v>
      </c>
      <c r="J329" s="140">
        <v>1.4</v>
      </c>
      <c r="K329" s="140">
        <v>1.6</v>
      </c>
      <c r="L329" s="139">
        <v>70</v>
      </c>
      <c r="M329" s="140">
        <v>0.9</v>
      </c>
      <c r="N329" s="139">
        <v>12</v>
      </c>
      <c r="O329" s="139">
        <v>1200</v>
      </c>
      <c r="P329" s="139">
        <v>1200</v>
      </c>
      <c r="Q329" s="139">
        <v>14</v>
      </c>
      <c r="R329" s="138">
        <v>0.1</v>
      </c>
      <c r="S329" s="139">
        <v>300</v>
      </c>
      <c r="T329" s="140">
        <v>18</v>
      </c>
      <c r="U329" s="49"/>
      <c r="V329" s="50"/>
      <c r="W329" s="50"/>
      <c r="X329" s="50"/>
    </row>
    <row r="330" spans="1:24" s="1" customFormat="1" ht="11.25" customHeight="1">
      <c r="A330" s="225" t="s">
        <v>55</v>
      </c>
      <c r="B330" s="226"/>
      <c r="C330" s="226"/>
      <c r="D330" s="227"/>
      <c r="E330" s="175"/>
      <c r="F330" s="51">
        <f aca="true" t="shared" si="91" ref="F330:T330">F328/F329</f>
        <v>0.6357555555555556</v>
      </c>
      <c r="G330" s="130">
        <f t="shared" si="91"/>
        <v>0.6528478260869565</v>
      </c>
      <c r="H330" s="130">
        <f t="shared" si="91"/>
        <v>0.43702872062663184</v>
      </c>
      <c r="I330" s="130">
        <f t="shared" si="91"/>
        <v>0.5290654411764706</v>
      </c>
      <c r="J330" s="130">
        <f t="shared" si="91"/>
        <v>0.7778571428571429</v>
      </c>
      <c r="K330" s="130">
        <f t="shared" si="91"/>
        <v>0.7693750000000001</v>
      </c>
      <c r="L330" s="130">
        <f t="shared" si="91"/>
        <v>0.6755142857142856</v>
      </c>
      <c r="M330" s="33">
        <f t="shared" si="91"/>
        <v>0.1802777777777778</v>
      </c>
      <c r="N330" s="130">
        <f t="shared" si="91"/>
        <v>0.9366666666666665</v>
      </c>
      <c r="O330" s="130">
        <f t="shared" si="91"/>
        <v>0.2574504166666667</v>
      </c>
      <c r="P330" s="130">
        <f t="shared" si="91"/>
        <v>0.53329375</v>
      </c>
      <c r="Q330" s="130">
        <f t="shared" si="91"/>
        <v>0.35469999999999996</v>
      </c>
      <c r="R330" s="33">
        <f t="shared" si="91"/>
        <v>26.001999999999995</v>
      </c>
      <c r="S330" s="130">
        <f t="shared" si="91"/>
        <v>0.890915</v>
      </c>
      <c r="T330" s="33">
        <f t="shared" si="91"/>
        <v>0.6505833333333333</v>
      </c>
      <c r="U330" s="34"/>
      <c r="V330" s="35"/>
      <c r="W330" s="35"/>
      <c r="X330" s="35"/>
    </row>
    <row r="331" spans="1:24" s="1" customFormat="1" ht="11.25" customHeight="1">
      <c r="A331" s="41"/>
      <c r="B331" s="41"/>
      <c r="C331" s="181"/>
      <c r="D331" s="181"/>
      <c r="E331" s="181"/>
      <c r="F331" s="59"/>
      <c r="G331" s="121"/>
      <c r="H331" s="2"/>
      <c r="I331" s="2"/>
      <c r="J331" s="121"/>
      <c r="K331" s="121"/>
      <c r="L331" s="121"/>
      <c r="M331" s="220" t="s">
        <v>57</v>
      </c>
      <c r="N331" s="220"/>
      <c r="O331" s="220"/>
      <c r="P331" s="220"/>
      <c r="Q331" s="220"/>
      <c r="R331" s="220"/>
      <c r="S331" s="220"/>
      <c r="T331" s="220"/>
      <c r="U331" s="10"/>
      <c r="V331" s="17"/>
      <c r="W331" s="17"/>
      <c r="X331" s="17"/>
    </row>
    <row r="332" spans="1:24" s="1" customFormat="1" ht="11.25" customHeight="1">
      <c r="A332" s="41"/>
      <c r="B332" s="41"/>
      <c r="C332" s="181"/>
      <c r="D332" s="181"/>
      <c r="E332" s="181"/>
      <c r="F332" s="59"/>
      <c r="G332" s="121"/>
      <c r="H332" s="2"/>
      <c r="I332" s="2"/>
      <c r="J332" s="121"/>
      <c r="K332" s="121"/>
      <c r="L332" s="121"/>
      <c r="M332" s="184"/>
      <c r="N332" s="184"/>
      <c r="O332" s="184"/>
      <c r="P332" s="184"/>
      <c r="Q332" s="184"/>
      <c r="R332" s="184"/>
      <c r="S332" s="184"/>
      <c r="T332" s="184"/>
      <c r="U332" s="10"/>
      <c r="V332" s="17"/>
      <c r="W332" s="17"/>
      <c r="X332" s="17"/>
    </row>
    <row r="333" spans="1:24" ht="11.25" customHeight="1">
      <c r="A333" s="41"/>
      <c r="B333" s="41"/>
      <c r="C333" s="41"/>
      <c r="D333" s="121"/>
      <c r="E333" s="121"/>
      <c r="F333" s="119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"/>
      <c r="V333" s="18"/>
      <c r="W333" s="18"/>
      <c r="X333" s="18"/>
    </row>
    <row r="334" spans="1:24" ht="29.25" customHeight="1">
      <c r="A334" s="224" t="s">
        <v>59</v>
      </c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12"/>
      <c r="V334" s="18"/>
      <c r="W334" s="18"/>
      <c r="X334" s="18"/>
    </row>
    <row r="335" spans="1:24" ht="29.25" customHeight="1">
      <c r="A335" s="41"/>
      <c r="B335" s="41"/>
      <c r="C335" s="41"/>
      <c r="D335" s="121"/>
      <c r="E335" s="121"/>
      <c r="F335" s="119"/>
      <c r="G335" s="121"/>
      <c r="H335" s="4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5"/>
      <c r="V335" s="18"/>
      <c r="W335" s="18"/>
      <c r="X335" s="18"/>
    </row>
    <row r="336" spans="1:24" s="54" customFormat="1" ht="13.5" customHeight="1">
      <c r="A336" s="55"/>
      <c r="B336" s="55"/>
      <c r="C336" s="55"/>
      <c r="D336" s="55"/>
      <c r="E336" s="55"/>
      <c r="F336" s="60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6"/>
      <c r="W336" s="53"/>
      <c r="X336" s="53"/>
    </row>
  </sheetData>
  <sheetProtection/>
  <mergeCells count="386">
    <mergeCell ref="A240:T240"/>
    <mergeCell ref="B242:C242"/>
    <mergeCell ref="A237:A238"/>
    <mergeCell ref="B237:C238"/>
    <mergeCell ref="W291:W293"/>
    <mergeCell ref="B282:C282"/>
    <mergeCell ref="X291:X293"/>
    <mergeCell ref="B292:C292"/>
    <mergeCell ref="A226:T226"/>
    <mergeCell ref="B228:C228"/>
    <mergeCell ref="A233:D233"/>
    <mergeCell ref="A255:D255"/>
    <mergeCell ref="A256:T256"/>
    <mergeCell ref="B250:C250"/>
    <mergeCell ref="B207:C207"/>
    <mergeCell ref="B210:C210"/>
    <mergeCell ref="B212:C212"/>
    <mergeCell ref="V291:V293"/>
    <mergeCell ref="A225:D225"/>
    <mergeCell ref="N236:T236"/>
    <mergeCell ref="G235:I235"/>
    <mergeCell ref="B286:C286"/>
    <mergeCell ref="B287:C287"/>
    <mergeCell ref="A290:T290"/>
    <mergeCell ref="N171:Q171"/>
    <mergeCell ref="G171:I171"/>
    <mergeCell ref="A167:D167"/>
    <mergeCell ref="B220:C220"/>
    <mergeCell ref="A216:T216"/>
    <mergeCell ref="A205:A206"/>
    <mergeCell ref="B211:C211"/>
    <mergeCell ref="B209:C209"/>
    <mergeCell ref="A208:T208"/>
    <mergeCell ref="B205:C206"/>
    <mergeCell ref="A182:D182"/>
    <mergeCell ref="A183:T183"/>
    <mergeCell ref="D105:D106"/>
    <mergeCell ref="B179:C179"/>
    <mergeCell ref="A176:T176"/>
    <mergeCell ref="A101:D101"/>
    <mergeCell ref="F173:H173"/>
    <mergeCell ref="A165:D165"/>
    <mergeCell ref="B177:C177"/>
    <mergeCell ref="N103:Q103"/>
    <mergeCell ref="O40:T40"/>
    <mergeCell ref="A67:D67"/>
    <mergeCell ref="D40:D41"/>
    <mergeCell ref="B29:C29"/>
    <mergeCell ref="A27:D27"/>
    <mergeCell ref="B180:C180"/>
    <mergeCell ref="L172:M172"/>
    <mergeCell ref="A160:D160"/>
    <mergeCell ref="B158:C158"/>
    <mergeCell ref="J173:N173"/>
    <mergeCell ref="B248:C248"/>
    <mergeCell ref="F269:H269"/>
    <mergeCell ref="B273:C273"/>
    <mergeCell ref="B283:C283"/>
    <mergeCell ref="G299:I299"/>
    <mergeCell ref="B274:C274"/>
    <mergeCell ref="A289:D289"/>
    <mergeCell ref="B276:C276"/>
    <mergeCell ref="N137:Q137"/>
    <mergeCell ref="B253:C253"/>
    <mergeCell ref="B120:C120"/>
    <mergeCell ref="B291:C291"/>
    <mergeCell ref="B285:C285"/>
    <mergeCell ref="B13:C13"/>
    <mergeCell ref="B20:C20"/>
    <mergeCell ref="B51:C51"/>
    <mergeCell ref="B21:C21"/>
    <mergeCell ref="A32:D32"/>
    <mergeCell ref="A269:A270"/>
    <mergeCell ref="A298:T298"/>
    <mergeCell ref="N300:T300"/>
    <mergeCell ref="D300:F300"/>
    <mergeCell ref="B271:C271"/>
    <mergeCell ref="A272:T272"/>
    <mergeCell ref="B281:C281"/>
    <mergeCell ref="L299:M299"/>
    <mergeCell ref="A297:D297"/>
    <mergeCell ref="B284:C284"/>
    <mergeCell ref="J301:N301"/>
    <mergeCell ref="B325:C325"/>
    <mergeCell ref="A322:D322"/>
    <mergeCell ref="B301:C302"/>
    <mergeCell ref="B315:C315"/>
    <mergeCell ref="A301:A302"/>
    <mergeCell ref="B307:C307"/>
    <mergeCell ref="B308:C308"/>
    <mergeCell ref="B309:C309"/>
    <mergeCell ref="A327:D327"/>
    <mergeCell ref="B305:C305"/>
    <mergeCell ref="B316:C316"/>
    <mergeCell ref="B314:C314"/>
    <mergeCell ref="A312:D312"/>
    <mergeCell ref="B310:C310"/>
    <mergeCell ref="M331:T331"/>
    <mergeCell ref="B319:C319"/>
    <mergeCell ref="A313:T313"/>
    <mergeCell ref="B320:C320"/>
    <mergeCell ref="B317:C317"/>
    <mergeCell ref="A323:T323"/>
    <mergeCell ref="B318:C318"/>
    <mergeCell ref="A330:D330"/>
    <mergeCell ref="B324:C324"/>
    <mergeCell ref="A329:D329"/>
    <mergeCell ref="B306:C306"/>
    <mergeCell ref="D301:D302"/>
    <mergeCell ref="A279:D279"/>
    <mergeCell ref="J269:N269"/>
    <mergeCell ref="L300:M300"/>
    <mergeCell ref="B303:C303"/>
    <mergeCell ref="A304:T304"/>
    <mergeCell ref="O301:T301"/>
    <mergeCell ref="F301:H301"/>
    <mergeCell ref="I301:I302"/>
    <mergeCell ref="A246:D246"/>
    <mergeCell ref="B243:C243"/>
    <mergeCell ref="A263:D263"/>
    <mergeCell ref="A266:T266"/>
    <mergeCell ref="N299:Q299"/>
    <mergeCell ref="I269:I270"/>
    <mergeCell ref="A296:D296"/>
    <mergeCell ref="D269:D270"/>
    <mergeCell ref="A280:T280"/>
    <mergeCell ref="N268:T268"/>
    <mergeCell ref="D237:D238"/>
    <mergeCell ref="B269:C270"/>
    <mergeCell ref="B221:C221"/>
    <mergeCell ref="B223:C223"/>
    <mergeCell ref="B239:C239"/>
    <mergeCell ref="A262:D262"/>
    <mergeCell ref="A260:D260"/>
    <mergeCell ref="B251:C251"/>
    <mergeCell ref="B252:C252"/>
    <mergeCell ref="B249:C249"/>
    <mergeCell ref="B219:C219"/>
    <mergeCell ref="A234:T234"/>
    <mergeCell ref="N235:Q235"/>
    <mergeCell ref="O237:T237"/>
    <mergeCell ref="B227:C227"/>
    <mergeCell ref="A230:D230"/>
    <mergeCell ref="I237:I238"/>
    <mergeCell ref="F237:H237"/>
    <mergeCell ref="L235:M235"/>
    <mergeCell ref="L236:M236"/>
    <mergeCell ref="I205:I206"/>
    <mergeCell ref="J205:N205"/>
    <mergeCell ref="G203:I203"/>
    <mergeCell ref="L203:M203"/>
    <mergeCell ref="D204:F204"/>
    <mergeCell ref="L204:M204"/>
    <mergeCell ref="N204:T204"/>
    <mergeCell ref="O205:T205"/>
    <mergeCell ref="M201:T201"/>
    <mergeCell ref="A193:T193"/>
    <mergeCell ref="A199:D199"/>
    <mergeCell ref="A200:D200"/>
    <mergeCell ref="B185:C185"/>
    <mergeCell ref="B194:C194"/>
    <mergeCell ref="A192:D192"/>
    <mergeCell ref="B187:C187"/>
    <mergeCell ref="B186:C186"/>
    <mergeCell ref="N172:T172"/>
    <mergeCell ref="A173:A174"/>
    <mergeCell ref="B173:C174"/>
    <mergeCell ref="D173:D174"/>
    <mergeCell ref="I173:I174"/>
    <mergeCell ref="D172:F172"/>
    <mergeCell ref="O173:T173"/>
    <mergeCell ref="B162:C162"/>
    <mergeCell ref="B157:C157"/>
    <mergeCell ref="B156:C156"/>
    <mergeCell ref="B153:C153"/>
    <mergeCell ref="L171:M171"/>
    <mergeCell ref="B154:C154"/>
    <mergeCell ref="A170:T170"/>
    <mergeCell ref="B163:C163"/>
    <mergeCell ref="M169:T169"/>
    <mergeCell ref="A168:D168"/>
    <mergeCell ref="B141:C141"/>
    <mergeCell ref="A142:T142"/>
    <mergeCell ref="O139:T139"/>
    <mergeCell ref="A161:T161"/>
    <mergeCell ref="B152:C152"/>
    <mergeCell ref="A150:D150"/>
    <mergeCell ref="B155:C155"/>
    <mergeCell ref="B143:C143"/>
    <mergeCell ref="B146:C146"/>
    <mergeCell ref="D138:F138"/>
    <mergeCell ref="L138:M138"/>
    <mergeCell ref="I139:I140"/>
    <mergeCell ref="D139:D140"/>
    <mergeCell ref="A139:A140"/>
    <mergeCell ref="A151:T151"/>
    <mergeCell ref="J139:N139"/>
    <mergeCell ref="B147:C147"/>
    <mergeCell ref="B145:C145"/>
    <mergeCell ref="B144:C144"/>
    <mergeCell ref="L104:M104"/>
    <mergeCell ref="N104:T104"/>
    <mergeCell ref="B107:C107"/>
    <mergeCell ref="A108:T108"/>
    <mergeCell ref="I105:I106"/>
    <mergeCell ref="O105:T105"/>
    <mergeCell ref="F105:H105"/>
    <mergeCell ref="J105:N105"/>
    <mergeCell ref="A105:A106"/>
    <mergeCell ref="B105:C106"/>
    <mergeCell ref="G103:I103"/>
    <mergeCell ref="L103:M103"/>
    <mergeCell ref="F73:H73"/>
    <mergeCell ref="I73:I74"/>
    <mergeCell ref="B91:C91"/>
    <mergeCell ref="B75:C75"/>
    <mergeCell ref="B96:C96"/>
    <mergeCell ref="B80:C80"/>
    <mergeCell ref="A102:T102"/>
    <mergeCell ref="A94:T94"/>
    <mergeCell ref="B11:C11"/>
    <mergeCell ref="A35:D35"/>
    <mergeCell ref="J73:N73"/>
    <mergeCell ref="D73:D74"/>
    <mergeCell ref="B61:C61"/>
    <mergeCell ref="B22:C22"/>
    <mergeCell ref="N72:T72"/>
    <mergeCell ref="A73:A74"/>
    <mergeCell ref="O73:T73"/>
    <mergeCell ref="B73:C74"/>
    <mergeCell ref="N6:T6"/>
    <mergeCell ref="O7:T7"/>
    <mergeCell ref="A10:T10"/>
    <mergeCell ref="F7:H7"/>
    <mergeCell ref="I7:I8"/>
    <mergeCell ref="B9:C9"/>
    <mergeCell ref="A7:A8"/>
    <mergeCell ref="B7:C8"/>
    <mergeCell ref="D6:F6"/>
    <mergeCell ref="B12:C12"/>
    <mergeCell ref="L38:M38"/>
    <mergeCell ref="N39:T39"/>
    <mergeCell ref="A18:T18"/>
    <mergeCell ref="B23:C23"/>
    <mergeCell ref="B25:C25"/>
    <mergeCell ref="A28:T28"/>
    <mergeCell ref="M36:T36"/>
    <mergeCell ref="B24:C24"/>
    <mergeCell ref="N38:Q38"/>
    <mergeCell ref="A17:D17"/>
    <mergeCell ref="A37:T37"/>
    <mergeCell ref="A40:A41"/>
    <mergeCell ref="J40:N40"/>
    <mergeCell ref="F40:H40"/>
    <mergeCell ref="D39:F39"/>
    <mergeCell ref="B40:C41"/>
    <mergeCell ref="A34:D34"/>
    <mergeCell ref="B30:C30"/>
    <mergeCell ref="B19:C19"/>
    <mergeCell ref="B47:C47"/>
    <mergeCell ref="B87:C87"/>
    <mergeCell ref="B88:C88"/>
    <mergeCell ref="B89:C89"/>
    <mergeCell ref="G71:I71"/>
    <mergeCell ref="B55:C55"/>
    <mergeCell ref="A50:T50"/>
    <mergeCell ref="B54:C54"/>
    <mergeCell ref="N71:Q71"/>
    <mergeCell ref="L71:M71"/>
    <mergeCell ref="A59:D59"/>
    <mergeCell ref="B53:C53"/>
    <mergeCell ref="A60:T60"/>
    <mergeCell ref="B77:C77"/>
    <mergeCell ref="B86:C86"/>
    <mergeCell ref="D72:F72"/>
    <mergeCell ref="A84:T84"/>
    <mergeCell ref="M68:T68"/>
    <mergeCell ref="A76:T76"/>
    <mergeCell ref="A82:D82"/>
    <mergeCell ref="G38:I38"/>
    <mergeCell ref="A49:D49"/>
    <mergeCell ref="B52:C52"/>
    <mergeCell ref="B56:C56"/>
    <mergeCell ref="A64:D64"/>
    <mergeCell ref="B57:C57"/>
    <mergeCell ref="B79:C79"/>
    <mergeCell ref="B62:C62"/>
    <mergeCell ref="L268:M268"/>
    <mergeCell ref="B258:C258"/>
    <mergeCell ref="O269:T269"/>
    <mergeCell ref="D268:F268"/>
    <mergeCell ref="A247:T247"/>
    <mergeCell ref="B257:C257"/>
    <mergeCell ref="M264:T264"/>
    <mergeCell ref="N267:Q267"/>
    <mergeCell ref="G267:I267"/>
    <mergeCell ref="L267:M267"/>
    <mergeCell ref="X2:X6"/>
    <mergeCell ref="J7:N7"/>
    <mergeCell ref="M2:T2"/>
    <mergeCell ref="A4:T4"/>
    <mergeCell ref="G5:I5"/>
    <mergeCell ref="B44:C44"/>
    <mergeCell ref="A43:T43"/>
    <mergeCell ref="I40:I41"/>
    <mergeCell ref="B42:C42"/>
    <mergeCell ref="B14:C14"/>
    <mergeCell ref="V2:V6"/>
    <mergeCell ref="A202:T202"/>
    <mergeCell ref="A232:D232"/>
    <mergeCell ref="B218:C218"/>
    <mergeCell ref="B189:C189"/>
    <mergeCell ref="B195:C195"/>
    <mergeCell ref="A133:D133"/>
    <mergeCell ref="B128:C128"/>
    <mergeCell ref="L72:M72"/>
    <mergeCell ref="B46:C46"/>
    <mergeCell ref="B175:C175"/>
    <mergeCell ref="B178:C178"/>
    <mergeCell ref="B188:C188"/>
    <mergeCell ref="A197:D197"/>
    <mergeCell ref="A215:D215"/>
    <mergeCell ref="U2:U6"/>
    <mergeCell ref="A66:D66"/>
    <mergeCell ref="B109:C109"/>
    <mergeCell ref="A70:T70"/>
    <mergeCell ref="D104:F104"/>
    <mergeCell ref="W79:W80"/>
    <mergeCell ref="B241:C241"/>
    <mergeCell ref="J237:N237"/>
    <mergeCell ref="N203:Q203"/>
    <mergeCell ref="D205:D206"/>
    <mergeCell ref="F205:H205"/>
    <mergeCell ref="B222:C222"/>
    <mergeCell ref="D236:F236"/>
    <mergeCell ref="B85:C85"/>
    <mergeCell ref="B190:C190"/>
    <mergeCell ref="B213:C213"/>
    <mergeCell ref="B217:C217"/>
    <mergeCell ref="X79:X80"/>
    <mergeCell ref="B184:C184"/>
    <mergeCell ref="V79:V80"/>
    <mergeCell ref="A93:D93"/>
    <mergeCell ref="B112:C112"/>
    <mergeCell ref="A100:D100"/>
    <mergeCell ref="A125:D125"/>
    <mergeCell ref="A116:T116"/>
    <mergeCell ref="L137:M137"/>
    <mergeCell ref="A126:T126"/>
    <mergeCell ref="G137:I137"/>
    <mergeCell ref="A136:T136"/>
    <mergeCell ref="B127:C127"/>
    <mergeCell ref="A334:T334"/>
    <mergeCell ref="B277:C277"/>
    <mergeCell ref="B244:C244"/>
    <mergeCell ref="A294:D294"/>
    <mergeCell ref="B275:C275"/>
    <mergeCell ref="N5:Q5"/>
    <mergeCell ref="L6:M6"/>
    <mergeCell ref="D7:D8"/>
    <mergeCell ref="B45:C45"/>
    <mergeCell ref="L39:M39"/>
    <mergeCell ref="M134:T134"/>
    <mergeCell ref="A115:D115"/>
    <mergeCell ref="B78:C78"/>
    <mergeCell ref="B110:C110"/>
    <mergeCell ref="L5:M5"/>
    <mergeCell ref="B113:C113"/>
    <mergeCell ref="B123:C123"/>
    <mergeCell ref="B118:C118"/>
    <mergeCell ref="B90:C90"/>
    <mergeCell ref="B111:C111"/>
    <mergeCell ref="B119:C119"/>
    <mergeCell ref="B121:C121"/>
    <mergeCell ref="A98:D98"/>
    <mergeCell ref="B95:C95"/>
    <mergeCell ref="B148:C148"/>
    <mergeCell ref="A1:D3"/>
    <mergeCell ref="N138:T138"/>
    <mergeCell ref="B139:C140"/>
    <mergeCell ref="A132:D132"/>
    <mergeCell ref="F139:H139"/>
    <mergeCell ref="Q1:T1"/>
    <mergeCell ref="B117:C117"/>
    <mergeCell ref="B122:C122"/>
    <mergeCell ref="A130:D130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5" max="19" man="1"/>
    <brk id="67" max="19" man="1"/>
    <brk id="101" max="19" man="1"/>
    <brk id="133" max="255" man="1"/>
    <brk id="168" max="19" man="1"/>
    <brk id="200" max="19" man="1"/>
    <brk id="233" max="19" man="1"/>
    <brk id="263" max="19" man="1"/>
    <brk id="297" max="19" man="1"/>
    <brk id="3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User</cp:lastModifiedBy>
  <cp:lastPrinted>2024-04-12T06:29:32Z</cp:lastPrinted>
  <dcterms:created xsi:type="dcterms:W3CDTF">2017-06-07T09:01:22Z</dcterms:created>
  <dcterms:modified xsi:type="dcterms:W3CDTF">2024-04-12T06:30:04Z</dcterms:modified>
  <cp:category/>
  <cp:version/>
  <cp:contentType/>
  <cp:contentStatus/>
  <cp:revision>1</cp:revision>
</cp:coreProperties>
</file>